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DAT\WAK\Wewnętrzny\NK_2021-2027\NK 2021 koszty jedn\"/>
    </mc:Choice>
  </mc:AlternateContent>
  <bookViews>
    <workbookView xWindow="0" yWindow="0" windowWidth="28800" windowHeight="12435" tabRatio="934"/>
  </bookViews>
  <sheets>
    <sheet name="Spis tabel" sheetId="29" r:id="rId1"/>
    <sheet name="Indeksacja" sheetId="8" r:id="rId2"/>
    <sheet name="VoT czas pasażerowie" sheetId="30" r:id="rId3"/>
    <sheet name="VoT czas ładunki" sheetId="31" r:id="rId4"/>
    <sheet name="VOC eksploatacja samochody" sheetId="14" r:id="rId5"/>
    <sheet name="VOC eksploatacja pociągi" sheetId="32" r:id="rId6"/>
    <sheet name="Zmiany klimatu (GHG) samochody" sheetId="17" r:id="rId7"/>
    <sheet name="Zmiany klimatu (GHG) pociągi" sheetId="13" r:id="rId8"/>
    <sheet name="Zanieczyszczenia samochody" sheetId="19" r:id="rId9"/>
    <sheet name="Zanieczyszczenia pociągi" sheetId="26" r:id="rId10"/>
    <sheet name="Zanieczyszczenia transp.ląd" sheetId="16" r:id="rId11"/>
    <sheet name="Hałas-zdezagr.krańc" sheetId="24" r:id="rId12"/>
    <sheet name="Hałas-zagreg.śred.PL" sheetId="23" r:id="rId13"/>
    <sheet name="Wypadki" sheetId="22" r:id="rId14"/>
    <sheet name="ECT2019 koszty zewnętrzne" sheetId="28" r:id="rId15"/>
    <sheet name="Utrzymanie dróg" sheetId="33" r:id="rId16"/>
    <sheet name="E-Busy emisje" sheetId="34" r:id="rId1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52" i="17" l="1"/>
  <c r="V34" i="22" l="1"/>
  <c r="W34" i="22" s="1"/>
  <c r="U34" i="22"/>
  <c r="W36" i="22"/>
  <c r="W35" i="22"/>
  <c r="X92" i="17"/>
  <c r="X35" i="32"/>
  <c r="X214" i="14"/>
  <c r="BI23" i="8" l="1"/>
  <c r="BH23" i="8"/>
  <c r="BG23" i="8"/>
  <c r="BF23" i="8"/>
  <c r="BE23" i="8"/>
  <c r="BD23" i="8"/>
  <c r="BC23" i="8"/>
  <c r="BB23" i="8"/>
  <c r="BA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X65" i="8" l="1"/>
  <c r="W65" i="8"/>
  <c r="V65" i="8"/>
  <c r="V61" i="8"/>
  <c r="V63" i="8" s="1"/>
  <c r="X58" i="8"/>
  <c r="W58" i="8"/>
  <c r="V58" i="8"/>
  <c r="V56" i="8"/>
  <c r="Y26" i="8"/>
  <c r="Y61" i="8" s="1"/>
  <c r="X19" i="8"/>
  <c r="X26" i="8" s="1"/>
  <c r="W19" i="8"/>
  <c r="V16" i="8"/>
  <c r="X13" i="8"/>
  <c r="X16" i="8" s="1"/>
  <c r="X56" i="8" s="1"/>
  <c r="W13" i="8"/>
  <c r="W16" i="8" s="1"/>
  <c r="W56" i="8" s="1"/>
  <c r="V13" i="8"/>
  <c r="W61" i="8" l="1"/>
  <c r="W63" i="8"/>
  <c r="Y56" i="8"/>
  <c r="X61" i="8"/>
  <c r="X63" i="8" s="1"/>
  <c r="U124" i="23"/>
  <c r="T124" i="23"/>
  <c r="R143" i="23"/>
  <c r="S143" i="23" s="1"/>
  <c r="T143" i="23" s="1"/>
  <c r="U143" i="23" s="1"/>
  <c r="V143" i="23" s="1"/>
  <c r="W143" i="23" s="1"/>
  <c r="X143" i="23" s="1"/>
  <c r="Y143" i="23" s="1"/>
  <c r="Z143" i="23" s="1"/>
  <c r="AA143" i="23" s="1"/>
  <c r="AB143" i="23" s="1"/>
  <c r="AC143" i="23" s="1"/>
  <c r="AD143" i="23" s="1"/>
  <c r="AE143" i="23" s="1"/>
  <c r="AF143" i="23" s="1"/>
  <c r="AG143" i="23" s="1"/>
  <c r="AH143" i="23" s="1"/>
  <c r="AI143" i="23" s="1"/>
  <c r="AJ143" i="23" s="1"/>
  <c r="AK143" i="23" s="1"/>
  <c r="AL143" i="23" s="1"/>
  <c r="AM143" i="23" s="1"/>
  <c r="AN143" i="23" s="1"/>
  <c r="AO143" i="23" s="1"/>
  <c r="AP143" i="23" s="1"/>
  <c r="AQ143" i="23" s="1"/>
  <c r="AR143" i="23" s="1"/>
  <c r="AS143" i="23" s="1"/>
  <c r="AT143" i="23" s="1"/>
  <c r="AU143" i="23" s="1"/>
  <c r="AV143" i="23" s="1"/>
  <c r="AW143" i="23" s="1"/>
  <c r="AX143" i="23" s="1"/>
  <c r="AY143" i="23" s="1"/>
  <c r="AZ143" i="23" s="1"/>
  <c r="BA143" i="23" s="1"/>
  <c r="BB143" i="23" s="1"/>
  <c r="BC143" i="23" s="1"/>
  <c r="BD143" i="23" s="1"/>
  <c r="BE143" i="23" s="1"/>
  <c r="BF143" i="23" s="1"/>
  <c r="BG143" i="23" s="1"/>
  <c r="BH143" i="23" s="1"/>
  <c r="BI143" i="23" s="1"/>
  <c r="Q143" i="23"/>
  <c r="U142" i="23"/>
  <c r="V142" i="23" s="1"/>
  <c r="W142" i="23" s="1"/>
  <c r="X142" i="23" s="1"/>
  <c r="Y142" i="23" s="1"/>
  <c r="Z142" i="23" s="1"/>
  <c r="AA142" i="23" s="1"/>
  <c r="AB142" i="23" s="1"/>
  <c r="AC142" i="23" s="1"/>
  <c r="AD142" i="23" s="1"/>
  <c r="AE142" i="23" s="1"/>
  <c r="AF142" i="23" s="1"/>
  <c r="AG142" i="23" s="1"/>
  <c r="AH142" i="23" s="1"/>
  <c r="AI142" i="23" s="1"/>
  <c r="AJ142" i="23" s="1"/>
  <c r="AK142" i="23" s="1"/>
  <c r="AL142" i="23" s="1"/>
  <c r="AM142" i="23" s="1"/>
  <c r="AN142" i="23" s="1"/>
  <c r="AO142" i="23" s="1"/>
  <c r="AP142" i="23" s="1"/>
  <c r="AQ142" i="23" s="1"/>
  <c r="AR142" i="23" s="1"/>
  <c r="AS142" i="23" s="1"/>
  <c r="AT142" i="23" s="1"/>
  <c r="AU142" i="23" s="1"/>
  <c r="AV142" i="23" s="1"/>
  <c r="AW142" i="23" s="1"/>
  <c r="AX142" i="23" s="1"/>
  <c r="AY142" i="23" s="1"/>
  <c r="AZ142" i="23" s="1"/>
  <c r="BA142" i="23" s="1"/>
  <c r="BB142" i="23" s="1"/>
  <c r="BC142" i="23" s="1"/>
  <c r="BD142" i="23" s="1"/>
  <c r="BE142" i="23" s="1"/>
  <c r="BF142" i="23" s="1"/>
  <c r="BG142" i="23" s="1"/>
  <c r="BH142" i="23" s="1"/>
  <c r="BI142" i="23" s="1"/>
  <c r="Y63" i="8" l="1"/>
  <c r="I37" i="28"/>
  <c r="D20" i="34"/>
  <c r="V36" i="22"/>
  <c r="U36" i="22"/>
  <c r="V35" i="22"/>
  <c r="U35" i="22"/>
  <c r="T152" i="17"/>
  <c r="S152" i="17"/>
  <c r="R152" i="17"/>
  <c r="W92" i="17"/>
  <c r="W35" i="32"/>
  <c r="W214" i="14"/>
  <c r="Q53" i="28" l="1"/>
  <c r="M53" i="28"/>
  <c r="I53" i="28"/>
  <c r="E53" i="28"/>
  <c r="Q52" i="28"/>
  <c r="M52" i="28"/>
  <c r="I52" i="28"/>
  <c r="E52" i="28"/>
  <c r="Q51" i="28"/>
  <c r="M51" i="28"/>
  <c r="I51" i="28"/>
  <c r="E51" i="28"/>
  <c r="Q49" i="28"/>
  <c r="M49" i="28"/>
  <c r="I49" i="28"/>
  <c r="E49" i="28"/>
  <c r="Q48" i="28"/>
  <c r="M48" i="28"/>
  <c r="I48" i="28"/>
  <c r="E48" i="28"/>
  <c r="N53" i="28"/>
  <c r="J53" i="28"/>
  <c r="F53" i="28"/>
  <c r="J52" i="28"/>
  <c r="B52" i="28"/>
  <c r="F51" i="28"/>
  <c r="J49" i="28"/>
  <c r="N48" i="28"/>
  <c r="F48" i="28"/>
  <c r="P53" i="28"/>
  <c r="L53" i="28"/>
  <c r="H53" i="28"/>
  <c r="D53" i="28"/>
  <c r="P52" i="28"/>
  <c r="L52" i="28"/>
  <c r="H52" i="28"/>
  <c r="D52" i="28"/>
  <c r="P51" i="28"/>
  <c r="L51" i="28"/>
  <c r="H51" i="28"/>
  <c r="D51" i="28"/>
  <c r="P49" i="28"/>
  <c r="L49" i="28"/>
  <c r="H49" i="28"/>
  <c r="D49" i="28"/>
  <c r="P48" i="28"/>
  <c r="L48" i="28"/>
  <c r="H48" i="28"/>
  <c r="D48" i="28"/>
  <c r="B53" i="28"/>
  <c r="F52" i="28"/>
  <c r="J51" i="28"/>
  <c r="N49" i="28"/>
  <c r="B49" i="28"/>
  <c r="B48" i="28"/>
  <c r="O53" i="28"/>
  <c r="K53" i="28"/>
  <c r="G53" i="28"/>
  <c r="C53" i="28"/>
  <c r="O52" i="28"/>
  <c r="K52" i="28"/>
  <c r="G52" i="28"/>
  <c r="C52" i="28"/>
  <c r="O51" i="28"/>
  <c r="K51" i="28"/>
  <c r="G51" i="28"/>
  <c r="C51" i="28"/>
  <c r="O49" i="28"/>
  <c r="K49" i="28"/>
  <c r="G49" i="28"/>
  <c r="C49" i="28"/>
  <c r="O48" i="28"/>
  <c r="K48" i="28"/>
  <c r="G48" i="28"/>
  <c r="C48" i="28"/>
  <c r="N52" i="28"/>
  <c r="N51" i="28"/>
  <c r="B51" i="28"/>
  <c r="F49" i="28"/>
  <c r="J48" i="28"/>
  <c r="R105" i="17"/>
  <c r="S105" i="17" s="1"/>
  <c r="T105" i="17" s="1"/>
  <c r="H37" i="28" l="1"/>
  <c r="B93" i="34"/>
  <c r="B80" i="34" l="1"/>
  <c r="B79" i="34"/>
  <c r="B82" i="34" s="1"/>
  <c r="H75" i="34"/>
  <c r="G75" i="34"/>
  <c r="F75" i="34"/>
  <c r="A233" i="24" l="1" a="1"/>
  <c r="A233" i="24" s="1"/>
  <c r="Q232" i="24"/>
  <c r="R232" i="24" s="1"/>
  <c r="S232" i="24" s="1"/>
  <c r="T232" i="24" s="1"/>
  <c r="U232" i="24" s="1"/>
  <c r="V232" i="24" s="1"/>
  <c r="W232" i="24" s="1"/>
  <c r="X232" i="24" s="1"/>
  <c r="Y232" i="24" s="1"/>
  <c r="Z232" i="24" s="1"/>
  <c r="AA232" i="24" s="1"/>
  <c r="AB232" i="24" s="1"/>
  <c r="AC232" i="24" s="1"/>
  <c r="AD232" i="24" s="1"/>
  <c r="AE232" i="24" s="1"/>
  <c r="AF232" i="24" s="1"/>
  <c r="AG232" i="24" s="1"/>
  <c r="AH232" i="24" s="1"/>
  <c r="AI232" i="24" s="1"/>
  <c r="AJ232" i="24" s="1"/>
  <c r="AK232" i="24" s="1"/>
  <c r="AL232" i="24" s="1"/>
  <c r="AM232" i="24" s="1"/>
  <c r="AN232" i="24" s="1"/>
  <c r="AO232" i="24" s="1"/>
  <c r="AP232" i="24" s="1"/>
  <c r="AQ232" i="24" s="1"/>
  <c r="AR232" i="24" s="1"/>
  <c r="AS232" i="24" s="1"/>
  <c r="AT232" i="24" s="1"/>
  <c r="AU232" i="24" s="1"/>
  <c r="AV232" i="24" s="1"/>
  <c r="AW232" i="24" s="1"/>
  <c r="AX232" i="24" s="1"/>
  <c r="AY232" i="24" s="1"/>
  <c r="AZ232" i="24" s="1"/>
  <c r="BA232" i="24" s="1"/>
  <c r="BB232" i="24" s="1"/>
  <c r="BC232" i="24" s="1"/>
  <c r="BD232" i="24" s="1"/>
  <c r="BE232" i="24" s="1"/>
  <c r="BF232" i="24" s="1"/>
  <c r="BG232" i="24" s="1"/>
  <c r="BH232" i="24" s="1"/>
  <c r="BI232" i="24" s="1"/>
  <c r="U231" i="24"/>
  <c r="V231" i="24" s="1"/>
  <c r="W231" i="24" s="1"/>
  <c r="X231" i="24" s="1"/>
  <c r="Y231" i="24" s="1"/>
  <c r="Z231" i="24" s="1"/>
  <c r="AA231" i="24" s="1"/>
  <c r="AB231" i="24" s="1"/>
  <c r="AC231" i="24" s="1"/>
  <c r="AD231" i="24" s="1"/>
  <c r="AE231" i="24" s="1"/>
  <c r="AF231" i="24" s="1"/>
  <c r="AG231" i="24" s="1"/>
  <c r="AH231" i="24" s="1"/>
  <c r="AI231" i="24" s="1"/>
  <c r="AJ231" i="24" s="1"/>
  <c r="AK231" i="24" s="1"/>
  <c r="AL231" i="24" s="1"/>
  <c r="AM231" i="24" s="1"/>
  <c r="AN231" i="24" s="1"/>
  <c r="AO231" i="24" s="1"/>
  <c r="AP231" i="24" s="1"/>
  <c r="AQ231" i="24" s="1"/>
  <c r="AR231" i="24" s="1"/>
  <c r="AS231" i="24" s="1"/>
  <c r="AT231" i="24" s="1"/>
  <c r="AU231" i="24" s="1"/>
  <c r="AV231" i="24" s="1"/>
  <c r="AW231" i="24" s="1"/>
  <c r="AX231" i="24" s="1"/>
  <c r="AY231" i="24" s="1"/>
  <c r="AZ231" i="24" s="1"/>
  <c r="BA231" i="24" s="1"/>
  <c r="BB231" i="24" s="1"/>
  <c r="BC231" i="24" s="1"/>
  <c r="BD231" i="24" s="1"/>
  <c r="BE231" i="24" s="1"/>
  <c r="BF231" i="24" s="1"/>
  <c r="BG231" i="24" s="1"/>
  <c r="BH231" i="24" s="1"/>
  <c r="BI231" i="24" s="1"/>
  <c r="A236" i="24" l="1"/>
  <c r="A235" i="24"/>
  <c r="A234" i="24"/>
  <c r="A237" i="24"/>
  <c r="A39" i="13" l="1"/>
  <c r="A38" i="13"/>
  <c r="A37" i="13"/>
  <c r="A36" i="13"/>
  <c r="A33" i="13"/>
  <c r="A35" i="13"/>
  <c r="A6" i="23" l="1"/>
  <c r="A5" i="23"/>
  <c r="A4" i="24"/>
  <c r="U86" i="26" l="1"/>
  <c r="V86" i="26" s="1"/>
  <c r="U147" i="19"/>
  <c r="V147" i="19" s="1"/>
  <c r="U133" i="19"/>
  <c r="V133" i="19" s="1"/>
  <c r="B10" i="32"/>
  <c r="B9" i="32"/>
  <c r="B8" i="32"/>
  <c r="B7" i="32"/>
  <c r="A10" i="32"/>
  <c r="A9" i="32"/>
  <c r="A8" i="32"/>
  <c r="A7" i="32"/>
  <c r="A36" i="17" l="1"/>
  <c r="A111" i="17" s="1"/>
  <c r="A63" i="32"/>
  <c r="A62" i="32"/>
  <c r="A61" i="32"/>
  <c r="A60" i="32"/>
  <c r="A59" i="32"/>
  <c r="A58" i="32"/>
  <c r="A56" i="32"/>
  <c r="A55" i="32"/>
  <c r="A54" i="32"/>
  <c r="A53" i="32"/>
  <c r="A52" i="32"/>
  <c r="A51" i="32"/>
  <c r="A331" i="14"/>
  <c r="A330" i="14"/>
  <c r="A329" i="14"/>
  <c r="A328" i="14"/>
  <c r="A327" i="14"/>
  <c r="A326" i="14"/>
  <c r="A325" i="14"/>
  <c r="A323" i="14"/>
  <c r="A322" i="14"/>
  <c r="A321" i="14"/>
  <c r="A320" i="14"/>
  <c r="A319" i="14"/>
  <c r="A318" i="14"/>
  <c r="A324" i="14"/>
  <c r="A316" i="14"/>
  <c r="A315" i="14"/>
  <c r="A314" i="14"/>
  <c r="A313" i="14"/>
  <c r="A312" i="14"/>
  <c r="A311" i="14"/>
  <c r="A310" i="14"/>
  <c r="A308" i="14"/>
  <c r="A307" i="14"/>
  <c r="A306" i="14"/>
  <c r="A305" i="14"/>
  <c r="A304" i="14"/>
  <c r="A303" i="14"/>
  <c r="A309" i="14"/>
  <c r="A221" i="14"/>
  <c r="A149" i="14"/>
  <c r="A32" i="28"/>
  <c r="A108" i="24" l="1"/>
  <c r="A80" i="23"/>
  <c r="A45" i="16"/>
  <c r="A53" i="26"/>
  <c r="A91" i="19"/>
  <c r="A30" i="32"/>
  <c r="A36" i="32"/>
  <c r="U86" i="33"/>
  <c r="V86" i="33" s="1"/>
  <c r="W86" i="33" s="1"/>
  <c r="X86" i="33" s="1"/>
  <c r="Y86" i="33" s="1"/>
  <c r="Z86" i="33" s="1"/>
  <c r="AA86" i="33" s="1"/>
  <c r="AB86" i="33" s="1"/>
  <c r="AC86" i="33" s="1"/>
  <c r="AD86" i="33" s="1"/>
  <c r="AE86" i="33" s="1"/>
  <c r="AF86" i="33" s="1"/>
  <c r="AG86" i="33" s="1"/>
  <c r="AH86" i="33" s="1"/>
  <c r="AI86" i="33" s="1"/>
  <c r="AJ86" i="33" s="1"/>
  <c r="AK86" i="33" s="1"/>
  <c r="AL86" i="33" s="1"/>
  <c r="AM86" i="33" s="1"/>
  <c r="AN86" i="33" s="1"/>
  <c r="AO86" i="33" s="1"/>
  <c r="AP86" i="33" s="1"/>
  <c r="AQ86" i="33" s="1"/>
  <c r="AR86" i="33" s="1"/>
  <c r="AS86" i="33" s="1"/>
  <c r="AT86" i="33" s="1"/>
  <c r="AU86" i="33" s="1"/>
  <c r="AV86" i="33" s="1"/>
  <c r="AW86" i="33" s="1"/>
  <c r="AX86" i="33" s="1"/>
  <c r="AY86" i="33" s="1"/>
  <c r="AZ86" i="33" s="1"/>
  <c r="BA86" i="33" s="1"/>
  <c r="BB86" i="33" s="1"/>
  <c r="BC86" i="33" s="1"/>
  <c r="BD86" i="33" s="1"/>
  <c r="BE86" i="33" s="1"/>
  <c r="BF86" i="33" s="1"/>
  <c r="BG86" i="33" s="1"/>
  <c r="BH86" i="33" s="1"/>
  <c r="BI86" i="33" s="1"/>
  <c r="N38" i="33"/>
  <c r="O38" i="33" s="1"/>
  <c r="P38" i="33" s="1"/>
  <c r="Q38" i="33" s="1"/>
  <c r="R38" i="33" s="1"/>
  <c r="S38" i="33" s="1"/>
  <c r="T38" i="33" s="1"/>
  <c r="U38" i="33" s="1"/>
  <c r="V38" i="33" s="1"/>
  <c r="W38" i="33" s="1"/>
  <c r="X38" i="33" s="1"/>
  <c r="Y38" i="33" s="1"/>
  <c r="Z38" i="33" s="1"/>
  <c r="AA38" i="33" s="1"/>
  <c r="AB38" i="33" s="1"/>
  <c r="AC38" i="33" s="1"/>
  <c r="AD38" i="33" s="1"/>
  <c r="AE38" i="33" s="1"/>
  <c r="AF38" i="33" s="1"/>
  <c r="AG38" i="33" s="1"/>
  <c r="AH38" i="33" s="1"/>
  <c r="AI38" i="33" s="1"/>
  <c r="AJ38" i="33" s="1"/>
  <c r="AK38" i="33" s="1"/>
  <c r="AL38" i="33" s="1"/>
  <c r="AM38" i="33" s="1"/>
  <c r="AN38" i="33" s="1"/>
  <c r="AO38" i="33" s="1"/>
  <c r="AP38" i="33" s="1"/>
  <c r="AQ38" i="33" s="1"/>
  <c r="AR38" i="33" s="1"/>
  <c r="AS38" i="33" s="1"/>
  <c r="AT38" i="33" s="1"/>
  <c r="AU38" i="33" s="1"/>
  <c r="AV38" i="33" s="1"/>
  <c r="AW38" i="33" s="1"/>
  <c r="AX38" i="33" s="1"/>
  <c r="AY38" i="33" s="1"/>
  <c r="AZ38" i="33" s="1"/>
  <c r="BA38" i="33" s="1"/>
  <c r="BB38" i="33" s="1"/>
  <c r="BC38" i="33" s="1"/>
  <c r="BD38" i="33" s="1"/>
  <c r="BE38" i="33" s="1"/>
  <c r="BF38" i="33" s="1"/>
  <c r="BG38" i="33" s="1"/>
  <c r="BH38" i="33" s="1"/>
  <c r="BI38" i="33" s="1"/>
  <c r="N14" i="33"/>
  <c r="O14" i="33" s="1"/>
  <c r="P14" i="33" s="1"/>
  <c r="Q14" i="33" s="1"/>
  <c r="R14" i="33" s="1"/>
  <c r="S14" i="33" s="1"/>
  <c r="T14" i="33" s="1"/>
  <c r="U14" i="33" s="1"/>
  <c r="V14" i="33" s="1"/>
  <c r="W14" i="33" s="1"/>
  <c r="X14" i="33" s="1"/>
  <c r="Y14" i="33" s="1"/>
  <c r="Z14" i="33" s="1"/>
  <c r="AA14" i="33" s="1"/>
  <c r="AB14" i="33" s="1"/>
  <c r="AC14" i="33" s="1"/>
  <c r="AD14" i="33" s="1"/>
  <c r="AE14" i="33" s="1"/>
  <c r="AF14" i="33" s="1"/>
  <c r="AG14" i="33" s="1"/>
  <c r="AH14" i="33" s="1"/>
  <c r="AI14" i="33" s="1"/>
  <c r="AJ14" i="33" s="1"/>
  <c r="AK14" i="33" s="1"/>
  <c r="AL14" i="33" s="1"/>
  <c r="AM14" i="33" s="1"/>
  <c r="AN14" i="33" s="1"/>
  <c r="AO14" i="33" s="1"/>
  <c r="AP14" i="33" s="1"/>
  <c r="AQ14" i="33" s="1"/>
  <c r="AR14" i="33" s="1"/>
  <c r="AS14" i="33" s="1"/>
  <c r="AT14" i="33" s="1"/>
  <c r="AU14" i="33" s="1"/>
  <c r="AV14" i="33" s="1"/>
  <c r="AW14" i="33" s="1"/>
  <c r="AX14" i="33" s="1"/>
  <c r="AY14" i="33" s="1"/>
  <c r="AZ14" i="33" s="1"/>
  <c r="BA14" i="33" s="1"/>
  <c r="BB14" i="33" s="1"/>
  <c r="BC14" i="33" s="1"/>
  <c r="BD14" i="33" s="1"/>
  <c r="BE14" i="33" s="1"/>
  <c r="BF14" i="33" s="1"/>
  <c r="BG14" i="33" s="1"/>
  <c r="BH14" i="33" s="1"/>
  <c r="BI14" i="33" s="1"/>
  <c r="C90" i="28"/>
  <c r="D90" i="28" s="1"/>
  <c r="E90" i="28" s="1"/>
  <c r="F90" i="28" s="1"/>
  <c r="G90" i="28" s="1"/>
  <c r="H90" i="28" s="1"/>
  <c r="I90" i="28" s="1"/>
  <c r="J90" i="28" s="1"/>
  <c r="K90" i="28" s="1"/>
  <c r="L90" i="28" s="1"/>
  <c r="M90" i="28" s="1"/>
  <c r="N90" i="28" s="1"/>
  <c r="O90" i="28" s="1"/>
  <c r="P90" i="28" s="1"/>
  <c r="Q90" i="28" s="1"/>
  <c r="C84" i="28"/>
  <c r="D84" i="28" s="1"/>
  <c r="E84" i="28" s="1"/>
  <c r="F84" i="28" s="1"/>
  <c r="G84" i="28" s="1"/>
  <c r="H84" i="28" s="1"/>
  <c r="I84" i="28" s="1"/>
  <c r="J84" i="28" s="1"/>
  <c r="K84" i="28" s="1"/>
  <c r="L84" i="28" s="1"/>
  <c r="M84" i="28" s="1"/>
  <c r="N84" i="28" s="1"/>
  <c r="O84" i="28" s="1"/>
  <c r="P84" i="28" s="1"/>
  <c r="Q84" i="28" s="1"/>
  <c r="D83" i="28"/>
  <c r="E83" i="28" s="1"/>
  <c r="F83" i="28" s="1"/>
  <c r="G83" i="28" s="1"/>
  <c r="H83" i="28" s="1"/>
  <c r="I83" i="28" s="1"/>
  <c r="J83" i="28" s="1"/>
  <c r="K83" i="28" s="1"/>
  <c r="L83" i="28" s="1"/>
  <c r="M83" i="28" s="1"/>
  <c r="N83" i="28" s="1"/>
  <c r="O83" i="28" s="1"/>
  <c r="P83" i="28" s="1"/>
  <c r="R40" i="22"/>
  <c r="S40" i="22" s="1"/>
  <c r="T40" i="22" s="1"/>
  <c r="U40" i="22" s="1"/>
  <c r="V40" i="22" s="1"/>
  <c r="W40" i="22" s="1"/>
  <c r="X40" i="22" s="1"/>
  <c r="Y40" i="22" s="1"/>
  <c r="Z40" i="22" s="1"/>
  <c r="AA40" i="22" s="1"/>
  <c r="AB40" i="22" s="1"/>
  <c r="AC40" i="22" s="1"/>
  <c r="AD40" i="22" s="1"/>
  <c r="AE40" i="22" s="1"/>
  <c r="AF40" i="22" s="1"/>
  <c r="AG40" i="22" s="1"/>
  <c r="AH40" i="22" s="1"/>
  <c r="AI40" i="22" s="1"/>
  <c r="AJ40" i="22" s="1"/>
  <c r="AK40" i="22" s="1"/>
  <c r="AL40" i="22" s="1"/>
  <c r="AM40" i="22" s="1"/>
  <c r="AN40" i="22" s="1"/>
  <c r="AO40" i="22" s="1"/>
  <c r="AP40" i="22" s="1"/>
  <c r="AQ40" i="22" s="1"/>
  <c r="AR40" i="22" s="1"/>
  <c r="AS40" i="22" s="1"/>
  <c r="AT40" i="22" s="1"/>
  <c r="AU40" i="22" s="1"/>
  <c r="AV40" i="22" s="1"/>
  <c r="AW40" i="22" s="1"/>
  <c r="AX40" i="22" s="1"/>
  <c r="AY40" i="22" s="1"/>
  <c r="AZ40" i="22" s="1"/>
  <c r="BA40" i="22" s="1"/>
  <c r="BB40" i="22" s="1"/>
  <c r="BC40" i="22" s="1"/>
  <c r="BD40" i="22" s="1"/>
  <c r="BE40" i="22" s="1"/>
  <c r="BF40" i="22" s="1"/>
  <c r="BG40" i="22" s="1"/>
  <c r="BH40" i="22" s="1"/>
  <c r="BI40" i="22" s="1"/>
  <c r="Q40" i="22"/>
  <c r="R223" i="24"/>
  <c r="S223" i="24" s="1"/>
  <c r="T223" i="24" s="1"/>
  <c r="U223" i="24" s="1"/>
  <c r="V223" i="24" s="1"/>
  <c r="W223" i="24" s="1"/>
  <c r="X223" i="24" s="1"/>
  <c r="Y223" i="24" s="1"/>
  <c r="Z223" i="24" s="1"/>
  <c r="AA223" i="24" s="1"/>
  <c r="AB223" i="24" s="1"/>
  <c r="AC223" i="24" s="1"/>
  <c r="AD223" i="24" s="1"/>
  <c r="AE223" i="24" s="1"/>
  <c r="AF223" i="24" s="1"/>
  <c r="AG223" i="24" s="1"/>
  <c r="AH223" i="24" s="1"/>
  <c r="AI223" i="24" s="1"/>
  <c r="AJ223" i="24" s="1"/>
  <c r="AK223" i="24" s="1"/>
  <c r="AL223" i="24" s="1"/>
  <c r="AM223" i="24" s="1"/>
  <c r="AN223" i="24" s="1"/>
  <c r="AO223" i="24" s="1"/>
  <c r="AP223" i="24" s="1"/>
  <c r="AQ223" i="24" s="1"/>
  <c r="AR223" i="24" s="1"/>
  <c r="AS223" i="24" s="1"/>
  <c r="AT223" i="24" s="1"/>
  <c r="AU223" i="24" s="1"/>
  <c r="AV223" i="24" s="1"/>
  <c r="AW223" i="24" s="1"/>
  <c r="AX223" i="24" s="1"/>
  <c r="AY223" i="24" s="1"/>
  <c r="AZ223" i="24" s="1"/>
  <c r="BA223" i="24" s="1"/>
  <c r="BB223" i="24" s="1"/>
  <c r="BC223" i="24" s="1"/>
  <c r="BD223" i="24" s="1"/>
  <c r="BE223" i="24" s="1"/>
  <c r="BF223" i="24" s="1"/>
  <c r="BG223" i="24" s="1"/>
  <c r="BH223" i="24" s="1"/>
  <c r="BI223" i="24" s="1"/>
  <c r="Q223" i="24"/>
  <c r="Q165" i="24"/>
  <c r="R165" i="24" s="1"/>
  <c r="S165" i="24" s="1"/>
  <c r="T165" i="24" s="1"/>
  <c r="U165" i="24" s="1"/>
  <c r="V165" i="24" s="1"/>
  <c r="W165" i="24" s="1"/>
  <c r="X165" i="24" s="1"/>
  <c r="Y165" i="24" s="1"/>
  <c r="Z165" i="24" s="1"/>
  <c r="AA165" i="24" s="1"/>
  <c r="AB165" i="24" s="1"/>
  <c r="AC165" i="24" s="1"/>
  <c r="AD165" i="24" s="1"/>
  <c r="AE165" i="24" s="1"/>
  <c r="AF165" i="24" s="1"/>
  <c r="AG165" i="24" s="1"/>
  <c r="AH165" i="24" s="1"/>
  <c r="AI165" i="24" s="1"/>
  <c r="AJ165" i="24" s="1"/>
  <c r="AK165" i="24" s="1"/>
  <c r="AL165" i="24" s="1"/>
  <c r="AM165" i="24" s="1"/>
  <c r="AN165" i="24" s="1"/>
  <c r="AO165" i="24" s="1"/>
  <c r="AP165" i="24" s="1"/>
  <c r="AQ165" i="24" s="1"/>
  <c r="AR165" i="24" s="1"/>
  <c r="AS165" i="24" s="1"/>
  <c r="AT165" i="24" s="1"/>
  <c r="AU165" i="24" s="1"/>
  <c r="AV165" i="24" s="1"/>
  <c r="AW165" i="24" s="1"/>
  <c r="AX165" i="24" s="1"/>
  <c r="AY165" i="24" s="1"/>
  <c r="AZ165" i="24" s="1"/>
  <c r="BA165" i="24" s="1"/>
  <c r="BB165" i="24" s="1"/>
  <c r="BC165" i="24" s="1"/>
  <c r="BD165" i="24" s="1"/>
  <c r="BE165" i="24" s="1"/>
  <c r="BF165" i="24" s="1"/>
  <c r="BG165" i="24" s="1"/>
  <c r="BH165" i="24" s="1"/>
  <c r="BI165" i="24" s="1"/>
  <c r="Q140" i="24"/>
  <c r="R140" i="24" s="1"/>
  <c r="S140" i="24" s="1"/>
  <c r="T140" i="24" s="1"/>
  <c r="U140" i="24" s="1"/>
  <c r="V140" i="24" s="1"/>
  <c r="W140" i="24" s="1"/>
  <c r="X140" i="24" s="1"/>
  <c r="Y140" i="24" s="1"/>
  <c r="Z140" i="24" s="1"/>
  <c r="AA140" i="24" s="1"/>
  <c r="AB140" i="24" s="1"/>
  <c r="AC140" i="24" s="1"/>
  <c r="AD140" i="24" s="1"/>
  <c r="AE140" i="24" s="1"/>
  <c r="AF140" i="24" s="1"/>
  <c r="AG140" i="24" s="1"/>
  <c r="AH140" i="24" s="1"/>
  <c r="AI140" i="24" s="1"/>
  <c r="AJ140" i="24" s="1"/>
  <c r="AK140" i="24" s="1"/>
  <c r="AL140" i="24" s="1"/>
  <c r="AM140" i="24" s="1"/>
  <c r="AN140" i="24" s="1"/>
  <c r="AO140" i="24" s="1"/>
  <c r="AP140" i="24" s="1"/>
  <c r="AQ140" i="24" s="1"/>
  <c r="AR140" i="24" s="1"/>
  <c r="AS140" i="24" s="1"/>
  <c r="AT140" i="24" s="1"/>
  <c r="AU140" i="24" s="1"/>
  <c r="AV140" i="24" s="1"/>
  <c r="AW140" i="24" s="1"/>
  <c r="AX140" i="24" s="1"/>
  <c r="AY140" i="24" s="1"/>
  <c r="AZ140" i="24" s="1"/>
  <c r="BA140" i="24" s="1"/>
  <c r="BB140" i="24" s="1"/>
  <c r="BC140" i="24" s="1"/>
  <c r="BD140" i="24" s="1"/>
  <c r="BE140" i="24" s="1"/>
  <c r="BF140" i="24" s="1"/>
  <c r="BG140" i="24" s="1"/>
  <c r="BH140" i="24" s="1"/>
  <c r="BI140" i="24" s="1"/>
  <c r="Q114" i="24"/>
  <c r="R114" i="24" s="1"/>
  <c r="S114" i="24" s="1"/>
  <c r="T114" i="24" s="1"/>
  <c r="U114" i="24" s="1"/>
  <c r="V114" i="24" s="1"/>
  <c r="W114" i="24" s="1"/>
  <c r="X114" i="24" s="1"/>
  <c r="Y114" i="24" s="1"/>
  <c r="Z114" i="24" s="1"/>
  <c r="AA114" i="24" s="1"/>
  <c r="AB114" i="24" s="1"/>
  <c r="AC114" i="24" s="1"/>
  <c r="AD114" i="24" s="1"/>
  <c r="AE114" i="24" s="1"/>
  <c r="AF114" i="24" s="1"/>
  <c r="AG114" i="24" s="1"/>
  <c r="AH114" i="24" s="1"/>
  <c r="AI114" i="24" s="1"/>
  <c r="AJ114" i="24" s="1"/>
  <c r="AK114" i="24" s="1"/>
  <c r="AL114" i="24" s="1"/>
  <c r="AM114" i="24" s="1"/>
  <c r="AN114" i="24" s="1"/>
  <c r="AO114" i="24" s="1"/>
  <c r="AP114" i="24" s="1"/>
  <c r="AQ114" i="24" s="1"/>
  <c r="AR114" i="24" s="1"/>
  <c r="AS114" i="24" s="1"/>
  <c r="AT114" i="24" s="1"/>
  <c r="AU114" i="24" s="1"/>
  <c r="AV114" i="24" s="1"/>
  <c r="AW114" i="24" s="1"/>
  <c r="AX114" i="24" s="1"/>
  <c r="AY114" i="24" s="1"/>
  <c r="AZ114" i="24" s="1"/>
  <c r="BA114" i="24" s="1"/>
  <c r="BB114" i="24" s="1"/>
  <c r="BC114" i="24" s="1"/>
  <c r="BD114" i="24" s="1"/>
  <c r="BE114" i="24" s="1"/>
  <c r="BF114" i="24" s="1"/>
  <c r="BG114" i="24" s="1"/>
  <c r="BH114" i="24" s="1"/>
  <c r="BI114" i="24" s="1"/>
  <c r="Q135" i="23"/>
  <c r="R135" i="23" s="1"/>
  <c r="S135" i="23" s="1"/>
  <c r="T135" i="23" s="1"/>
  <c r="U135" i="23" s="1"/>
  <c r="V135" i="23" s="1"/>
  <c r="W135" i="23" s="1"/>
  <c r="X135" i="23" s="1"/>
  <c r="Y135" i="23" s="1"/>
  <c r="Z135" i="23" s="1"/>
  <c r="AA135" i="23" s="1"/>
  <c r="AB135" i="23" s="1"/>
  <c r="AC135" i="23" s="1"/>
  <c r="AD135" i="23" s="1"/>
  <c r="AE135" i="23" s="1"/>
  <c r="AF135" i="23" s="1"/>
  <c r="AG135" i="23" s="1"/>
  <c r="AH135" i="23" s="1"/>
  <c r="AI135" i="23" s="1"/>
  <c r="AJ135" i="23" s="1"/>
  <c r="AK135" i="23" s="1"/>
  <c r="AL135" i="23" s="1"/>
  <c r="AM135" i="23" s="1"/>
  <c r="AN135" i="23" s="1"/>
  <c r="AO135" i="23" s="1"/>
  <c r="AP135" i="23" s="1"/>
  <c r="AQ135" i="23" s="1"/>
  <c r="AR135" i="23" s="1"/>
  <c r="AS135" i="23" s="1"/>
  <c r="AT135" i="23" s="1"/>
  <c r="AU135" i="23" s="1"/>
  <c r="AV135" i="23" s="1"/>
  <c r="AW135" i="23" s="1"/>
  <c r="AX135" i="23" s="1"/>
  <c r="AY135" i="23" s="1"/>
  <c r="AZ135" i="23" s="1"/>
  <c r="BA135" i="23" s="1"/>
  <c r="BB135" i="23" s="1"/>
  <c r="BC135" i="23" s="1"/>
  <c r="BD135" i="23" s="1"/>
  <c r="BE135" i="23" s="1"/>
  <c r="BF135" i="23" s="1"/>
  <c r="BG135" i="23" s="1"/>
  <c r="BH135" i="23" s="1"/>
  <c r="BI135" i="23" s="1"/>
  <c r="Q122" i="23"/>
  <c r="R122" i="23" s="1"/>
  <c r="S122" i="23" s="1"/>
  <c r="T122" i="23" s="1"/>
  <c r="U122" i="23" s="1"/>
  <c r="V122" i="23" s="1"/>
  <c r="W122" i="23" s="1"/>
  <c r="X122" i="23" s="1"/>
  <c r="Y122" i="23" s="1"/>
  <c r="Z122" i="23" s="1"/>
  <c r="AA122" i="23" s="1"/>
  <c r="AB122" i="23" s="1"/>
  <c r="AC122" i="23" s="1"/>
  <c r="AD122" i="23" s="1"/>
  <c r="AE122" i="23" s="1"/>
  <c r="AF122" i="23" s="1"/>
  <c r="AG122" i="23" s="1"/>
  <c r="AH122" i="23" s="1"/>
  <c r="AI122" i="23" s="1"/>
  <c r="AJ122" i="23" s="1"/>
  <c r="AK122" i="23" s="1"/>
  <c r="AL122" i="23" s="1"/>
  <c r="AM122" i="23" s="1"/>
  <c r="AN122" i="23" s="1"/>
  <c r="AO122" i="23" s="1"/>
  <c r="AP122" i="23" s="1"/>
  <c r="AQ122" i="23" s="1"/>
  <c r="AR122" i="23" s="1"/>
  <c r="AS122" i="23" s="1"/>
  <c r="AT122" i="23" s="1"/>
  <c r="AU122" i="23" s="1"/>
  <c r="AV122" i="23" s="1"/>
  <c r="AW122" i="23" s="1"/>
  <c r="AX122" i="23" s="1"/>
  <c r="AY122" i="23" s="1"/>
  <c r="AZ122" i="23" s="1"/>
  <c r="BA122" i="23" s="1"/>
  <c r="BB122" i="23" s="1"/>
  <c r="BC122" i="23" s="1"/>
  <c r="BD122" i="23" s="1"/>
  <c r="BE122" i="23" s="1"/>
  <c r="BF122" i="23" s="1"/>
  <c r="BG122" i="23" s="1"/>
  <c r="BH122" i="23" s="1"/>
  <c r="BI122" i="23" s="1"/>
  <c r="Q106" i="23"/>
  <c r="R106" i="23" s="1"/>
  <c r="S106" i="23" s="1"/>
  <c r="T106" i="23" s="1"/>
  <c r="U106" i="23" s="1"/>
  <c r="V106" i="23" s="1"/>
  <c r="W106" i="23" s="1"/>
  <c r="X106" i="23" s="1"/>
  <c r="Y106" i="23" s="1"/>
  <c r="Z106" i="23" s="1"/>
  <c r="AA106" i="23" s="1"/>
  <c r="AB106" i="23" s="1"/>
  <c r="AC106" i="23" s="1"/>
  <c r="AD106" i="23" s="1"/>
  <c r="AE106" i="23" s="1"/>
  <c r="AF106" i="23" s="1"/>
  <c r="AG106" i="23" s="1"/>
  <c r="AH106" i="23" s="1"/>
  <c r="AI106" i="23" s="1"/>
  <c r="AJ106" i="23" s="1"/>
  <c r="AK106" i="23" s="1"/>
  <c r="AL106" i="23" s="1"/>
  <c r="AM106" i="23" s="1"/>
  <c r="AN106" i="23" s="1"/>
  <c r="AO106" i="23" s="1"/>
  <c r="AP106" i="23" s="1"/>
  <c r="AQ106" i="23" s="1"/>
  <c r="AR106" i="23" s="1"/>
  <c r="AS106" i="23" s="1"/>
  <c r="AT106" i="23" s="1"/>
  <c r="AU106" i="23" s="1"/>
  <c r="AV106" i="23" s="1"/>
  <c r="AW106" i="23" s="1"/>
  <c r="AX106" i="23" s="1"/>
  <c r="AY106" i="23" s="1"/>
  <c r="AZ106" i="23" s="1"/>
  <c r="BA106" i="23" s="1"/>
  <c r="BB106" i="23" s="1"/>
  <c r="BC106" i="23" s="1"/>
  <c r="BD106" i="23" s="1"/>
  <c r="BE106" i="23" s="1"/>
  <c r="BF106" i="23" s="1"/>
  <c r="BG106" i="23" s="1"/>
  <c r="BH106" i="23" s="1"/>
  <c r="BI106" i="23" s="1"/>
  <c r="Q101" i="23"/>
  <c r="R101" i="23" s="1"/>
  <c r="S101" i="23" s="1"/>
  <c r="T101" i="23" s="1"/>
  <c r="U101" i="23" s="1"/>
  <c r="V101" i="23" s="1"/>
  <c r="W101" i="23" s="1"/>
  <c r="X101" i="23" s="1"/>
  <c r="Y101" i="23" s="1"/>
  <c r="Z101" i="23" s="1"/>
  <c r="AA101" i="23" s="1"/>
  <c r="AB101" i="23" s="1"/>
  <c r="AC101" i="23" s="1"/>
  <c r="AD101" i="23" s="1"/>
  <c r="AE101" i="23" s="1"/>
  <c r="AF101" i="23" s="1"/>
  <c r="AG101" i="23" s="1"/>
  <c r="AH101" i="23" s="1"/>
  <c r="AI101" i="23" s="1"/>
  <c r="AJ101" i="23" s="1"/>
  <c r="AK101" i="23" s="1"/>
  <c r="AL101" i="23" s="1"/>
  <c r="AM101" i="23" s="1"/>
  <c r="AN101" i="23" s="1"/>
  <c r="AO101" i="23" s="1"/>
  <c r="AP101" i="23" s="1"/>
  <c r="AQ101" i="23" s="1"/>
  <c r="AR101" i="23" s="1"/>
  <c r="AS101" i="23" s="1"/>
  <c r="AT101" i="23" s="1"/>
  <c r="AU101" i="23" s="1"/>
  <c r="AV101" i="23" s="1"/>
  <c r="AW101" i="23" s="1"/>
  <c r="AX101" i="23" s="1"/>
  <c r="AY101" i="23" s="1"/>
  <c r="AZ101" i="23" s="1"/>
  <c r="BA101" i="23" s="1"/>
  <c r="BB101" i="23" s="1"/>
  <c r="BC101" i="23" s="1"/>
  <c r="BD101" i="23" s="1"/>
  <c r="BE101" i="23" s="1"/>
  <c r="BF101" i="23" s="1"/>
  <c r="BG101" i="23" s="1"/>
  <c r="BH101" i="23" s="1"/>
  <c r="BI101" i="23" s="1"/>
  <c r="Q52" i="16"/>
  <c r="R52" i="16" s="1"/>
  <c r="S52" i="16" s="1"/>
  <c r="T52" i="16" s="1"/>
  <c r="U52" i="16" s="1"/>
  <c r="V52" i="16" s="1"/>
  <c r="W52" i="16" s="1"/>
  <c r="X52" i="16" s="1"/>
  <c r="Y52" i="16" s="1"/>
  <c r="Z52" i="16" s="1"/>
  <c r="AA52" i="16" s="1"/>
  <c r="AB52" i="16" s="1"/>
  <c r="AC52" i="16" s="1"/>
  <c r="AD52" i="16" s="1"/>
  <c r="AE52" i="16" s="1"/>
  <c r="AF52" i="16" s="1"/>
  <c r="AG52" i="16" s="1"/>
  <c r="AH52" i="16" s="1"/>
  <c r="AI52" i="16" s="1"/>
  <c r="AJ52" i="16" s="1"/>
  <c r="AK52" i="16" s="1"/>
  <c r="AL52" i="16" s="1"/>
  <c r="AM52" i="16" s="1"/>
  <c r="AN52" i="16" s="1"/>
  <c r="AO52" i="16" s="1"/>
  <c r="AP52" i="16" s="1"/>
  <c r="AQ52" i="16" s="1"/>
  <c r="AR52" i="16" s="1"/>
  <c r="AS52" i="16" s="1"/>
  <c r="AT52" i="16" s="1"/>
  <c r="AU52" i="16" s="1"/>
  <c r="AV52" i="16" s="1"/>
  <c r="AW52" i="16" s="1"/>
  <c r="AX52" i="16" s="1"/>
  <c r="AY52" i="16" s="1"/>
  <c r="AZ52" i="16" s="1"/>
  <c r="BA52" i="16" s="1"/>
  <c r="BB52" i="16" s="1"/>
  <c r="BC52" i="16" s="1"/>
  <c r="BD52" i="16" s="1"/>
  <c r="BE52" i="16" s="1"/>
  <c r="BF52" i="16" s="1"/>
  <c r="BG52" i="16" s="1"/>
  <c r="BH52" i="16" s="1"/>
  <c r="BI52" i="16" s="1"/>
  <c r="R87" i="26"/>
  <c r="S87" i="26" s="1"/>
  <c r="T87" i="26" s="1"/>
  <c r="U87" i="26" s="1"/>
  <c r="V87" i="26" s="1"/>
  <c r="W87" i="26" s="1"/>
  <c r="X87" i="26" s="1"/>
  <c r="Y87" i="26" s="1"/>
  <c r="Z87" i="26" s="1"/>
  <c r="AA87" i="26" s="1"/>
  <c r="AB87" i="26" s="1"/>
  <c r="AC87" i="26" s="1"/>
  <c r="AD87" i="26" s="1"/>
  <c r="AE87" i="26" s="1"/>
  <c r="AF87" i="26" s="1"/>
  <c r="AG87" i="26" s="1"/>
  <c r="AH87" i="26" s="1"/>
  <c r="AI87" i="26" s="1"/>
  <c r="AJ87" i="26" s="1"/>
  <c r="AK87" i="26" s="1"/>
  <c r="AL87" i="26" s="1"/>
  <c r="AM87" i="26" s="1"/>
  <c r="AN87" i="26" s="1"/>
  <c r="AO87" i="26" s="1"/>
  <c r="AP87" i="26" s="1"/>
  <c r="AQ87" i="26" s="1"/>
  <c r="AR87" i="26" s="1"/>
  <c r="AS87" i="26" s="1"/>
  <c r="AT87" i="26" s="1"/>
  <c r="AU87" i="26" s="1"/>
  <c r="AV87" i="26" s="1"/>
  <c r="AW87" i="26" s="1"/>
  <c r="AX87" i="26" s="1"/>
  <c r="AY87" i="26" s="1"/>
  <c r="AZ87" i="26" s="1"/>
  <c r="BA87" i="26" s="1"/>
  <c r="BB87" i="26" s="1"/>
  <c r="BC87" i="26" s="1"/>
  <c r="BD87" i="26" s="1"/>
  <c r="BE87" i="26" s="1"/>
  <c r="BF87" i="26" s="1"/>
  <c r="BG87" i="26" s="1"/>
  <c r="BH87" i="26" s="1"/>
  <c r="BI87" i="26" s="1"/>
  <c r="Q87" i="26"/>
  <c r="Q148" i="19"/>
  <c r="R148" i="19" s="1"/>
  <c r="S148" i="19" s="1"/>
  <c r="T148" i="19" s="1"/>
  <c r="U148" i="19" s="1"/>
  <c r="V148" i="19" s="1"/>
  <c r="W148" i="19" s="1"/>
  <c r="X148" i="19" s="1"/>
  <c r="Y148" i="19" s="1"/>
  <c r="Z148" i="19" s="1"/>
  <c r="AA148" i="19" s="1"/>
  <c r="AB148" i="19" s="1"/>
  <c r="AC148" i="19" s="1"/>
  <c r="AD148" i="19" s="1"/>
  <c r="AE148" i="19" s="1"/>
  <c r="AF148" i="19" s="1"/>
  <c r="AG148" i="19" s="1"/>
  <c r="AH148" i="19" s="1"/>
  <c r="AI148" i="19" s="1"/>
  <c r="AJ148" i="19" s="1"/>
  <c r="AK148" i="19" s="1"/>
  <c r="AL148" i="19" s="1"/>
  <c r="AM148" i="19" s="1"/>
  <c r="AN148" i="19" s="1"/>
  <c r="AO148" i="19" s="1"/>
  <c r="AP148" i="19" s="1"/>
  <c r="AQ148" i="19" s="1"/>
  <c r="AR148" i="19" s="1"/>
  <c r="AS148" i="19" s="1"/>
  <c r="AT148" i="19" s="1"/>
  <c r="AU148" i="19" s="1"/>
  <c r="AV148" i="19" s="1"/>
  <c r="AW148" i="19" s="1"/>
  <c r="AX148" i="19" s="1"/>
  <c r="AY148" i="19" s="1"/>
  <c r="AZ148" i="19" s="1"/>
  <c r="BA148" i="19" s="1"/>
  <c r="BB148" i="19" s="1"/>
  <c r="BC148" i="19" s="1"/>
  <c r="BD148" i="19" s="1"/>
  <c r="BE148" i="19" s="1"/>
  <c r="BF148" i="19" s="1"/>
  <c r="BG148" i="19" s="1"/>
  <c r="BH148" i="19" s="1"/>
  <c r="BI148" i="19" s="1"/>
  <c r="Q134" i="19"/>
  <c r="R134" i="19" s="1"/>
  <c r="S134" i="19" s="1"/>
  <c r="T134" i="19" s="1"/>
  <c r="U134" i="19" s="1"/>
  <c r="V134" i="19" s="1"/>
  <c r="W134" i="19" s="1"/>
  <c r="X134" i="19" s="1"/>
  <c r="Y134" i="19" s="1"/>
  <c r="Z134" i="19" s="1"/>
  <c r="AA134" i="19" s="1"/>
  <c r="AB134" i="19" s="1"/>
  <c r="AC134" i="19" s="1"/>
  <c r="AD134" i="19" s="1"/>
  <c r="AE134" i="19" s="1"/>
  <c r="AF134" i="19" s="1"/>
  <c r="AG134" i="19" s="1"/>
  <c r="AH134" i="19" s="1"/>
  <c r="AI134" i="19" s="1"/>
  <c r="AJ134" i="19" s="1"/>
  <c r="AK134" i="19" s="1"/>
  <c r="AL134" i="19" s="1"/>
  <c r="AM134" i="19" s="1"/>
  <c r="AN134" i="19" s="1"/>
  <c r="AO134" i="19" s="1"/>
  <c r="AP134" i="19" s="1"/>
  <c r="AQ134" i="19" s="1"/>
  <c r="AR134" i="19" s="1"/>
  <c r="AS134" i="19" s="1"/>
  <c r="AT134" i="19" s="1"/>
  <c r="AU134" i="19" s="1"/>
  <c r="AV134" i="19" s="1"/>
  <c r="AW134" i="19" s="1"/>
  <c r="AX134" i="19" s="1"/>
  <c r="AY134" i="19" s="1"/>
  <c r="AZ134" i="19" s="1"/>
  <c r="BA134" i="19" s="1"/>
  <c r="BB134" i="19" s="1"/>
  <c r="BC134" i="19" s="1"/>
  <c r="BD134" i="19" s="1"/>
  <c r="BE134" i="19" s="1"/>
  <c r="BF134" i="19" s="1"/>
  <c r="BG134" i="19" s="1"/>
  <c r="BH134" i="19" s="1"/>
  <c r="BI134" i="19" s="1"/>
  <c r="Q178" i="13"/>
  <c r="R178" i="13" s="1"/>
  <c r="S178" i="13" s="1"/>
  <c r="T178" i="13" s="1"/>
  <c r="U178" i="13" s="1"/>
  <c r="V178" i="13" s="1"/>
  <c r="W178" i="13" s="1"/>
  <c r="X178" i="13" s="1"/>
  <c r="Y178" i="13" s="1"/>
  <c r="Z178" i="13" s="1"/>
  <c r="AA178" i="13" s="1"/>
  <c r="AB178" i="13" s="1"/>
  <c r="AC178" i="13" s="1"/>
  <c r="AD178" i="13" s="1"/>
  <c r="AE178" i="13" s="1"/>
  <c r="AF178" i="13" s="1"/>
  <c r="AG178" i="13" s="1"/>
  <c r="AH178" i="13" s="1"/>
  <c r="AI178" i="13" s="1"/>
  <c r="AJ178" i="13" s="1"/>
  <c r="AK178" i="13" s="1"/>
  <c r="AL178" i="13" s="1"/>
  <c r="AM178" i="13" s="1"/>
  <c r="AN178" i="13" s="1"/>
  <c r="AO178" i="13" s="1"/>
  <c r="AP178" i="13" s="1"/>
  <c r="AQ178" i="13" s="1"/>
  <c r="AR178" i="13" s="1"/>
  <c r="AS178" i="13" s="1"/>
  <c r="AT178" i="13" s="1"/>
  <c r="AU178" i="13" s="1"/>
  <c r="AV178" i="13" s="1"/>
  <c r="AW178" i="13" s="1"/>
  <c r="AX178" i="13" s="1"/>
  <c r="AY178" i="13" s="1"/>
  <c r="AZ178" i="13" s="1"/>
  <c r="BA178" i="13" s="1"/>
  <c r="BB178" i="13" s="1"/>
  <c r="BC178" i="13" s="1"/>
  <c r="BD178" i="13" s="1"/>
  <c r="BE178" i="13" s="1"/>
  <c r="BF178" i="13" s="1"/>
  <c r="BG178" i="13" s="1"/>
  <c r="BH178" i="13" s="1"/>
  <c r="BI178" i="13" s="1"/>
  <c r="Q172" i="13"/>
  <c r="R172" i="13" s="1"/>
  <c r="S172" i="13" s="1"/>
  <c r="T172" i="13" s="1"/>
  <c r="U172" i="13" s="1"/>
  <c r="V172" i="13" s="1"/>
  <c r="W172" i="13" s="1"/>
  <c r="X172" i="13" s="1"/>
  <c r="Y172" i="13" s="1"/>
  <c r="Z172" i="13" s="1"/>
  <c r="AA172" i="13" s="1"/>
  <c r="AB172" i="13" s="1"/>
  <c r="AC172" i="13" s="1"/>
  <c r="AD172" i="13" s="1"/>
  <c r="AE172" i="13" s="1"/>
  <c r="AF172" i="13" s="1"/>
  <c r="AG172" i="13" s="1"/>
  <c r="AH172" i="13" s="1"/>
  <c r="AI172" i="13" s="1"/>
  <c r="AJ172" i="13" s="1"/>
  <c r="AK172" i="13" s="1"/>
  <c r="AL172" i="13" s="1"/>
  <c r="AM172" i="13" s="1"/>
  <c r="AN172" i="13" s="1"/>
  <c r="AO172" i="13" s="1"/>
  <c r="AP172" i="13" s="1"/>
  <c r="AQ172" i="13" s="1"/>
  <c r="AR172" i="13" s="1"/>
  <c r="AS172" i="13" s="1"/>
  <c r="AT172" i="13" s="1"/>
  <c r="AU172" i="13" s="1"/>
  <c r="AV172" i="13" s="1"/>
  <c r="AW172" i="13" s="1"/>
  <c r="AX172" i="13" s="1"/>
  <c r="AY172" i="13" s="1"/>
  <c r="AZ172" i="13" s="1"/>
  <c r="BA172" i="13" s="1"/>
  <c r="BB172" i="13" s="1"/>
  <c r="BC172" i="13" s="1"/>
  <c r="BD172" i="13" s="1"/>
  <c r="BE172" i="13" s="1"/>
  <c r="BF172" i="13" s="1"/>
  <c r="BG172" i="13" s="1"/>
  <c r="BH172" i="13" s="1"/>
  <c r="BI172" i="13" s="1"/>
  <c r="Q121" i="13"/>
  <c r="R121" i="13" s="1"/>
  <c r="S121" i="13" s="1"/>
  <c r="T121" i="13" s="1"/>
  <c r="U121" i="13" s="1"/>
  <c r="V121" i="13" s="1"/>
  <c r="W121" i="13" s="1"/>
  <c r="X121" i="13" s="1"/>
  <c r="Y121" i="13" s="1"/>
  <c r="Z121" i="13" s="1"/>
  <c r="AA121" i="13" s="1"/>
  <c r="AB121" i="13" s="1"/>
  <c r="AC121" i="13" s="1"/>
  <c r="AD121" i="13" s="1"/>
  <c r="AE121" i="13" s="1"/>
  <c r="AF121" i="13" s="1"/>
  <c r="AG121" i="13" s="1"/>
  <c r="AH121" i="13" s="1"/>
  <c r="AI121" i="13" s="1"/>
  <c r="AJ121" i="13" s="1"/>
  <c r="AK121" i="13" s="1"/>
  <c r="AL121" i="13" s="1"/>
  <c r="AM121" i="13" s="1"/>
  <c r="AN121" i="13" s="1"/>
  <c r="AO121" i="13" s="1"/>
  <c r="AP121" i="13" s="1"/>
  <c r="AQ121" i="13" s="1"/>
  <c r="AR121" i="13" s="1"/>
  <c r="AS121" i="13" s="1"/>
  <c r="AT121" i="13" s="1"/>
  <c r="AU121" i="13" s="1"/>
  <c r="AV121" i="13" s="1"/>
  <c r="AW121" i="13" s="1"/>
  <c r="AX121" i="13" s="1"/>
  <c r="AY121" i="13" s="1"/>
  <c r="AZ121" i="13" s="1"/>
  <c r="BA121" i="13" s="1"/>
  <c r="BB121" i="13" s="1"/>
  <c r="BC121" i="13" s="1"/>
  <c r="BD121" i="13" s="1"/>
  <c r="BE121" i="13" s="1"/>
  <c r="BF121" i="13" s="1"/>
  <c r="BG121" i="13" s="1"/>
  <c r="BH121" i="13" s="1"/>
  <c r="BI121" i="13" s="1"/>
  <c r="Q115" i="13"/>
  <c r="R115" i="13" s="1"/>
  <c r="S115" i="13" s="1"/>
  <c r="T115" i="13" s="1"/>
  <c r="U115" i="13" s="1"/>
  <c r="V115" i="13" s="1"/>
  <c r="W115" i="13" s="1"/>
  <c r="X115" i="13" s="1"/>
  <c r="Y115" i="13" s="1"/>
  <c r="Z115" i="13" s="1"/>
  <c r="AA115" i="13" s="1"/>
  <c r="AB115" i="13" s="1"/>
  <c r="AC115" i="13" s="1"/>
  <c r="AD115" i="13" s="1"/>
  <c r="AE115" i="13" s="1"/>
  <c r="AF115" i="13" s="1"/>
  <c r="AG115" i="13" s="1"/>
  <c r="AH115" i="13" s="1"/>
  <c r="AI115" i="13" s="1"/>
  <c r="AJ115" i="13" s="1"/>
  <c r="AK115" i="13" s="1"/>
  <c r="AL115" i="13" s="1"/>
  <c r="AM115" i="13" s="1"/>
  <c r="AN115" i="13" s="1"/>
  <c r="AO115" i="13" s="1"/>
  <c r="AP115" i="13" s="1"/>
  <c r="AQ115" i="13" s="1"/>
  <c r="AR115" i="13" s="1"/>
  <c r="AS115" i="13" s="1"/>
  <c r="AT115" i="13" s="1"/>
  <c r="AU115" i="13" s="1"/>
  <c r="AV115" i="13" s="1"/>
  <c r="AW115" i="13" s="1"/>
  <c r="AX115" i="13" s="1"/>
  <c r="AY115" i="13" s="1"/>
  <c r="AZ115" i="13" s="1"/>
  <c r="BA115" i="13" s="1"/>
  <c r="BB115" i="13" s="1"/>
  <c r="BC115" i="13" s="1"/>
  <c r="BD115" i="13" s="1"/>
  <c r="BE115" i="13" s="1"/>
  <c r="BF115" i="13" s="1"/>
  <c r="BG115" i="13" s="1"/>
  <c r="BH115" i="13" s="1"/>
  <c r="BI115" i="13" s="1"/>
  <c r="Q109" i="13"/>
  <c r="R109" i="13" s="1"/>
  <c r="S109" i="13" s="1"/>
  <c r="T109" i="13" s="1"/>
  <c r="U109" i="13" s="1"/>
  <c r="V109" i="13" s="1"/>
  <c r="W109" i="13" s="1"/>
  <c r="X109" i="13" s="1"/>
  <c r="Y109" i="13" s="1"/>
  <c r="Z109" i="13" s="1"/>
  <c r="AA109" i="13" s="1"/>
  <c r="AB109" i="13" s="1"/>
  <c r="AC109" i="13" s="1"/>
  <c r="AD109" i="13" s="1"/>
  <c r="AE109" i="13" s="1"/>
  <c r="AF109" i="13" s="1"/>
  <c r="AG109" i="13" s="1"/>
  <c r="AH109" i="13" s="1"/>
  <c r="AI109" i="13" s="1"/>
  <c r="AJ109" i="13" s="1"/>
  <c r="AK109" i="13" s="1"/>
  <c r="AL109" i="13" s="1"/>
  <c r="AM109" i="13" s="1"/>
  <c r="AN109" i="13" s="1"/>
  <c r="AO109" i="13" s="1"/>
  <c r="AP109" i="13" s="1"/>
  <c r="AQ109" i="13" s="1"/>
  <c r="AR109" i="13" s="1"/>
  <c r="AS109" i="13" s="1"/>
  <c r="AT109" i="13" s="1"/>
  <c r="AU109" i="13" s="1"/>
  <c r="AV109" i="13" s="1"/>
  <c r="AW109" i="13" s="1"/>
  <c r="AX109" i="13" s="1"/>
  <c r="AY109" i="13" s="1"/>
  <c r="AZ109" i="13" s="1"/>
  <c r="BA109" i="13" s="1"/>
  <c r="BB109" i="13" s="1"/>
  <c r="BC109" i="13" s="1"/>
  <c r="BD109" i="13" s="1"/>
  <c r="BE109" i="13" s="1"/>
  <c r="BF109" i="13" s="1"/>
  <c r="BG109" i="13" s="1"/>
  <c r="BH109" i="13" s="1"/>
  <c r="BI109" i="13" s="1"/>
  <c r="Q103" i="13"/>
  <c r="R103" i="13" s="1"/>
  <c r="S103" i="13" s="1"/>
  <c r="T103" i="13" s="1"/>
  <c r="U103" i="13" s="1"/>
  <c r="V103" i="13" s="1"/>
  <c r="W103" i="13" s="1"/>
  <c r="X103" i="13" s="1"/>
  <c r="Y103" i="13" s="1"/>
  <c r="Z103" i="13" s="1"/>
  <c r="AA103" i="13" s="1"/>
  <c r="AB103" i="13" s="1"/>
  <c r="AC103" i="13" s="1"/>
  <c r="AD103" i="13" s="1"/>
  <c r="AE103" i="13" s="1"/>
  <c r="AF103" i="13" s="1"/>
  <c r="AG103" i="13" s="1"/>
  <c r="AH103" i="13" s="1"/>
  <c r="AI103" i="13" s="1"/>
  <c r="AJ103" i="13" s="1"/>
  <c r="AK103" i="13" s="1"/>
  <c r="AL103" i="13" s="1"/>
  <c r="AM103" i="13" s="1"/>
  <c r="AN103" i="13" s="1"/>
  <c r="AO103" i="13" s="1"/>
  <c r="AP103" i="13" s="1"/>
  <c r="AQ103" i="13" s="1"/>
  <c r="AR103" i="13" s="1"/>
  <c r="AS103" i="13" s="1"/>
  <c r="AT103" i="13" s="1"/>
  <c r="AU103" i="13" s="1"/>
  <c r="AV103" i="13" s="1"/>
  <c r="AW103" i="13" s="1"/>
  <c r="AX103" i="13" s="1"/>
  <c r="AY103" i="13" s="1"/>
  <c r="AZ103" i="13" s="1"/>
  <c r="BA103" i="13" s="1"/>
  <c r="BB103" i="13" s="1"/>
  <c r="BC103" i="13" s="1"/>
  <c r="BD103" i="13" s="1"/>
  <c r="BE103" i="13" s="1"/>
  <c r="BF103" i="13" s="1"/>
  <c r="BG103" i="13" s="1"/>
  <c r="BH103" i="13" s="1"/>
  <c r="BI103" i="13" s="1"/>
  <c r="Q6" i="13"/>
  <c r="R6" i="13" s="1"/>
  <c r="S6" i="13" s="1"/>
  <c r="T6" i="13" s="1"/>
  <c r="U6" i="13" s="1"/>
  <c r="V6" i="13" s="1"/>
  <c r="W6" i="13" s="1"/>
  <c r="X6" i="13" s="1"/>
  <c r="Y6" i="13" s="1"/>
  <c r="Z6" i="13" s="1"/>
  <c r="AA6" i="13" s="1"/>
  <c r="AB6" i="13" s="1"/>
  <c r="AC6" i="13" s="1"/>
  <c r="AD6" i="13" s="1"/>
  <c r="AE6" i="13" s="1"/>
  <c r="AF6" i="13" s="1"/>
  <c r="AG6" i="13" s="1"/>
  <c r="AH6" i="13" s="1"/>
  <c r="AI6" i="13" s="1"/>
  <c r="AJ6" i="13" s="1"/>
  <c r="AK6" i="13" s="1"/>
  <c r="AL6" i="13" s="1"/>
  <c r="AM6" i="13" s="1"/>
  <c r="AN6" i="13" s="1"/>
  <c r="AO6" i="13" s="1"/>
  <c r="AP6" i="13" s="1"/>
  <c r="AQ6" i="13" s="1"/>
  <c r="AR6" i="13" s="1"/>
  <c r="AS6" i="13" s="1"/>
  <c r="AT6" i="13" s="1"/>
  <c r="AU6" i="13" s="1"/>
  <c r="AV6" i="13" s="1"/>
  <c r="AW6" i="13" s="1"/>
  <c r="AX6" i="13" s="1"/>
  <c r="AY6" i="13" s="1"/>
  <c r="AZ6" i="13" s="1"/>
  <c r="BA6" i="13" s="1"/>
  <c r="BB6" i="13" s="1"/>
  <c r="BC6" i="13" s="1"/>
  <c r="BD6" i="13" s="1"/>
  <c r="BE6" i="13" s="1"/>
  <c r="BF6" i="13" s="1"/>
  <c r="BG6" i="13" s="1"/>
  <c r="BH6" i="13" s="1"/>
  <c r="BI6" i="13" s="1"/>
  <c r="Q252" i="17"/>
  <c r="R252" i="17" s="1"/>
  <c r="S252" i="17" s="1"/>
  <c r="T252" i="17" s="1"/>
  <c r="U252" i="17" s="1"/>
  <c r="V252" i="17" s="1"/>
  <c r="W252" i="17" s="1"/>
  <c r="X252" i="17" s="1"/>
  <c r="Y252" i="17" s="1"/>
  <c r="Z252" i="17" s="1"/>
  <c r="AA252" i="17" s="1"/>
  <c r="AB252" i="17" s="1"/>
  <c r="AC252" i="17" s="1"/>
  <c r="AD252" i="17" s="1"/>
  <c r="AE252" i="17" s="1"/>
  <c r="AF252" i="17" s="1"/>
  <c r="AG252" i="17" s="1"/>
  <c r="AH252" i="17" s="1"/>
  <c r="AI252" i="17" s="1"/>
  <c r="AJ252" i="17" s="1"/>
  <c r="AK252" i="17" s="1"/>
  <c r="AL252" i="17" s="1"/>
  <c r="AM252" i="17" s="1"/>
  <c r="AN252" i="17" s="1"/>
  <c r="AO252" i="17" s="1"/>
  <c r="AP252" i="17" s="1"/>
  <c r="AQ252" i="17" s="1"/>
  <c r="AR252" i="17" s="1"/>
  <c r="AS252" i="17" s="1"/>
  <c r="AT252" i="17" s="1"/>
  <c r="AU252" i="17" s="1"/>
  <c r="AV252" i="17" s="1"/>
  <c r="AW252" i="17" s="1"/>
  <c r="AX252" i="17" s="1"/>
  <c r="AY252" i="17" s="1"/>
  <c r="AZ252" i="17" s="1"/>
  <c r="BA252" i="17" s="1"/>
  <c r="BB252" i="17" s="1"/>
  <c r="BC252" i="17" s="1"/>
  <c r="BD252" i="17" s="1"/>
  <c r="BE252" i="17" s="1"/>
  <c r="BF252" i="17" s="1"/>
  <c r="BG252" i="17" s="1"/>
  <c r="BH252" i="17" s="1"/>
  <c r="BI252" i="17" s="1"/>
  <c r="Q236" i="17"/>
  <c r="R236" i="17" s="1"/>
  <c r="S236" i="17" s="1"/>
  <c r="T236" i="17" s="1"/>
  <c r="U236" i="17" s="1"/>
  <c r="V236" i="17" s="1"/>
  <c r="W236" i="17" s="1"/>
  <c r="X236" i="17" s="1"/>
  <c r="Y236" i="17" s="1"/>
  <c r="Z236" i="17" s="1"/>
  <c r="AA236" i="17" s="1"/>
  <c r="AB236" i="17" s="1"/>
  <c r="AC236" i="17" s="1"/>
  <c r="AD236" i="17" s="1"/>
  <c r="AE236" i="17" s="1"/>
  <c r="AF236" i="17" s="1"/>
  <c r="AG236" i="17" s="1"/>
  <c r="AH236" i="17" s="1"/>
  <c r="AI236" i="17" s="1"/>
  <c r="AJ236" i="17" s="1"/>
  <c r="AK236" i="17" s="1"/>
  <c r="AL236" i="17" s="1"/>
  <c r="AM236" i="17" s="1"/>
  <c r="AN236" i="17" s="1"/>
  <c r="AO236" i="17" s="1"/>
  <c r="AP236" i="17" s="1"/>
  <c r="AQ236" i="17" s="1"/>
  <c r="AR236" i="17" s="1"/>
  <c r="AS236" i="17" s="1"/>
  <c r="AT236" i="17" s="1"/>
  <c r="AU236" i="17" s="1"/>
  <c r="AV236" i="17" s="1"/>
  <c r="AW236" i="17" s="1"/>
  <c r="AX236" i="17" s="1"/>
  <c r="AY236" i="17" s="1"/>
  <c r="AZ236" i="17" s="1"/>
  <c r="BA236" i="17" s="1"/>
  <c r="BB236" i="17" s="1"/>
  <c r="BC236" i="17" s="1"/>
  <c r="BD236" i="17" s="1"/>
  <c r="BE236" i="17" s="1"/>
  <c r="BF236" i="17" s="1"/>
  <c r="BG236" i="17" s="1"/>
  <c r="BH236" i="17" s="1"/>
  <c r="BI236" i="17" s="1"/>
  <c r="Q115" i="17"/>
  <c r="R115" i="17" s="1"/>
  <c r="S115" i="17" s="1"/>
  <c r="T115" i="17" s="1"/>
  <c r="U115" i="17" s="1"/>
  <c r="V115" i="17" s="1"/>
  <c r="W115" i="17" s="1"/>
  <c r="X115" i="17" s="1"/>
  <c r="Y115" i="17" s="1"/>
  <c r="Z115" i="17" s="1"/>
  <c r="AA115" i="17" s="1"/>
  <c r="AB115" i="17" s="1"/>
  <c r="AC115" i="17" s="1"/>
  <c r="AD115" i="17" s="1"/>
  <c r="AE115" i="17" s="1"/>
  <c r="AF115" i="17" s="1"/>
  <c r="AG115" i="17" s="1"/>
  <c r="AH115" i="17" s="1"/>
  <c r="AI115" i="17" s="1"/>
  <c r="AJ115" i="17" s="1"/>
  <c r="AK115" i="17" s="1"/>
  <c r="AL115" i="17" s="1"/>
  <c r="AM115" i="17" s="1"/>
  <c r="AN115" i="17" s="1"/>
  <c r="AO115" i="17" s="1"/>
  <c r="AP115" i="17" s="1"/>
  <c r="AQ115" i="17" s="1"/>
  <c r="AR115" i="17" s="1"/>
  <c r="AS115" i="17" s="1"/>
  <c r="AT115" i="17" s="1"/>
  <c r="AU115" i="17" s="1"/>
  <c r="AV115" i="17" s="1"/>
  <c r="AW115" i="17" s="1"/>
  <c r="AX115" i="17" s="1"/>
  <c r="AY115" i="17" s="1"/>
  <c r="AZ115" i="17" s="1"/>
  <c r="BA115" i="17" s="1"/>
  <c r="BB115" i="17" s="1"/>
  <c r="BC115" i="17" s="1"/>
  <c r="BD115" i="17" s="1"/>
  <c r="BE115" i="17" s="1"/>
  <c r="BF115" i="17" s="1"/>
  <c r="BG115" i="17" s="1"/>
  <c r="BH115" i="17" s="1"/>
  <c r="BI115" i="17" s="1"/>
  <c r="Q98" i="17"/>
  <c r="R98" i="17" s="1"/>
  <c r="S98" i="17" s="1"/>
  <c r="T98" i="17" s="1"/>
  <c r="U98" i="17" s="1"/>
  <c r="V98" i="17" s="1"/>
  <c r="W98" i="17" s="1"/>
  <c r="X98" i="17" s="1"/>
  <c r="Y98" i="17" s="1"/>
  <c r="Z98" i="17" s="1"/>
  <c r="AA98" i="17" s="1"/>
  <c r="AB98" i="17" s="1"/>
  <c r="AC98" i="17" s="1"/>
  <c r="AD98" i="17" s="1"/>
  <c r="AE98" i="17" s="1"/>
  <c r="AF98" i="17" s="1"/>
  <c r="AG98" i="17" s="1"/>
  <c r="AH98" i="17" s="1"/>
  <c r="AI98" i="17" s="1"/>
  <c r="AJ98" i="17" s="1"/>
  <c r="AK98" i="17" s="1"/>
  <c r="AL98" i="17" s="1"/>
  <c r="AM98" i="17" s="1"/>
  <c r="AN98" i="17" s="1"/>
  <c r="AO98" i="17" s="1"/>
  <c r="AP98" i="17" s="1"/>
  <c r="AQ98" i="17" s="1"/>
  <c r="AR98" i="17" s="1"/>
  <c r="AS98" i="17" s="1"/>
  <c r="AT98" i="17" s="1"/>
  <c r="AU98" i="17" s="1"/>
  <c r="AV98" i="17" s="1"/>
  <c r="AW98" i="17" s="1"/>
  <c r="AX98" i="17" s="1"/>
  <c r="AY98" i="17" s="1"/>
  <c r="AZ98" i="17" s="1"/>
  <c r="BA98" i="17" s="1"/>
  <c r="BB98" i="17" s="1"/>
  <c r="BC98" i="17" s="1"/>
  <c r="BD98" i="17" s="1"/>
  <c r="BE98" i="17" s="1"/>
  <c r="BF98" i="17" s="1"/>
  <c r="BG98" i="17" s="1"/>
  <c r="BH98" i="17" s="1"/>
  <c r="BI98" i="17" s="1"/>
  <c r="R97" i="17"/>
  <c r="S97" i="17" s="1"/>
  <c r="T97" i="17" s="1"/>
  <c r="Q43" i="32"/>
  <c r="R43" i="32" s="1"/>
  <c r="S43" i="32" s="1"/>
  <c r="T43" i="32" s="1"/>
  <c r="U43" i="32" s="1"/>
  <c r="V43" i="32" s="1"/>
  <c r="W43" i="32" s="1"/>
  <c r="X43" i="32" s="1"/>
  <c r="Y43" i="32" s="1"/>
  <c r="Z43" i="32" s="1"/>
  <c r="AA43" i="32" s="1"/>
  <c r="AB43" i="32" s="1"/>
  <c r="AC43" i="32" s="1"/>
  <c r="AD43" i="32" s="1"/>
  <c r="AE43" i="32" s="1"/>
  <c r="AF43" i="32" s="1"/>
  <c r="AG43" i="32" s="1"/>
  <c r="AH43" i="32" s="1"/>
  <c r="AI43" i="32" s="1"/>
  <c r="AJ43" i="32" s="1"/>
  <c r="AK43" i="32" s="1"/>
  <c r="AL43" i="32" s="1"/>
  <c r="AM43" i="32" s="1"/>
  <c r="AN43" i="32" s="1"/>
  <c r="AO43" i="32" s="1"/>
  <c r="AP43" i="32" s="1"/>
  <c r="AQ43" i="32" s="1"/>
  <c r="AR43" i="32" s="1"/>
  <c r="AS43" i="32" s="1"/>
  <c r="AT43" i="32" s="1"/>
  <c r="AU43" i="32" s="1"/>
  <c r="AV43" i="32" s="1"/>
  <c r="AW43" i="32" s="1"/>
  <c r="AX43" i="32" s="1"/>
  <c r="AY43" i="32" s="1"/>
  <c r="AZ43" i="32" s="1"/>
  <c r="BA43" i="32" s="1"/>
  <c r="BB43" i="32" s="1"/>
  <c r="BC43" i="32" s="1"/>
  <c r="BD43" i="32" s="1"/>
  <c r="BE43" i="32" s="1"/>
  <c r="BF43" i="32" s="1"/>
  <c r="BG43" i="32" s="1"/>
  <c r="BH43" i="32" s="1"/>
  <c r="BI43" i="32" s="1"/>
  <c r="Q301" i="14"/>
  <c r="R301" i="14" s="1"/>
  <c r="S301" i="14" s="1"/>
  <c r="T301" i="14" s="1"/>
  <c r="U301" i="14" s="1"/>
  <c r="V301" i="14" s="1"/>
  <c r="W301" i="14" s="1"/>
  <c r="X301" i="14" s="1"/>
  <c r="Y301" i="14" s="1"/>
  <c r="Z301" i="14" s="1"/>
  <c r="AA301" i="14" s="1"/>
  <c r="AB301" i="14" s="1"/>
  <c r="AC301" i="14" s="1"/>
  <c r="AD301" i="14" s="1"/>
  <c r="AE301" i="14" s="1"/>
  <c r="AF301" i="14" s="1"/>
  <c r="AG301" i="14" s="1"/>
  <c r="AH301" i="14" s="1"/>
  <c r="AI301" i="14" s="1"/>
  <c r="AJ301" i="14" s="1"/>
  <c r="AK301" i="14" s="1"/>
  <c r="AL301" i="14" s="1"/>
  <c r="AM301" i="14" s="1"/>
  <c r="AN301" i="14" s="1"/>
  <c r="AO301" i="14" s="1"/>
  <c r="AP301" i="14" s="1"/>
  <c r="AQ301" i="14" s="1"/>
  <c r="AR301" i="14" s="1"/>
  <c r="AS301" i="14" s="1"/>
  <c r="AT301" i="14" s="1"/>
  <c r="AU301" i="14" s="1"/>
  <c r="AV301" i="14" s="1"/>
  <c r="AW301" i="14" s="1"/>
  <c r="AX301" i="14" s="1"/>
  <c r="AY301" i="14" s="1"/>
  <c r="AZ301" i="14" s="1"/>
  <c r="BA301" i="14" s="1"/>
  <c r="BB301" i="14" s="1"/>
  <c r="BC301" i="14" s="1"/>
  <c r="BD301" i="14" s="1"/>
  <c r="BE301" i="14" s="1"/>
  <c r="BF301" i="14" s="1"/>
  <c r="BG301" i="14" s="1"/>
  <c r="BH301" i="14" s="1"/>
  <c r="BI301" i="14" s="1"/>
  <c r="Q285" i="14"/>
  <c r="R285" i="14" s="1"/>
  <c r="S285" i="14" s="1"/>
  <c r="T285" i="14" s="1"/>
  <c r="U285" i="14" s="1"/>
  <c r="V285" i="14" s="1"/>
  <c r="W285" i="14" s="1"/>
  <c r="X285" i="14" s="1"/>
  <c r="Y285" i="14" s="1"/>
  <c r="Z285" i="14" s="1"/>
  <c r="AA285" i="14" s="1"/>
  <c r="AB285" i="14" s="1"/>
  <c r="AC285" i="14" s="1"/>
  <c r="AD285" i="14" s="1"/>
  <c r="AE285" i="14" s="1"/>
  <c r="AF285" i="14" s="1"/>
  <c r="AG285" i="14" s="1"/>
  <c r="AH285" i="14" s="1"/>
  <c r="AI285" i="14" s="1"/>
  <c r="AJ285" i="14" s="1"/>
  <c r="AK285" i="14" s="1"/>
  <c r="AL285" i="14" s="1"/>
  <c r="AM285" i="14" s="1"/>
  <c r="AN285" i="14" s="1"/>
  <c r="AO285" i="14" s="1"/>
  <c r="AP285" i="14" s="1"/>
  <c r="AQ285" i="14" s="1"/>
  <c r="AR285" i="14" s="1"/>
  <c r="AS285" i="14" s="1"/>
  <c r="AT285" i="14" s="1"/>
  <c r="AU285" i="14" s="1"/>
  <c r="AV285" i="14" s="1"/>
  <c r="AW285" i="14" s="1"/>
  <c r="AX285" i="14" s="1"/>
  <c r="AY285" i="14" s="1"/>
  <c r="AZ285" i="14" s="1"/>
  <c r="BA285" i="14" s="1"/>
  <c r="BB285" i="14" s="1"/>
  <c r="BC285" i="14" s="1"/>
  <c r="BD285" i="14" s="1"/>
  <c r="BE285" i="14" s="1"/>
  <c r="BF285" i="14" s="1"/>
  <c r="BG285" i="14" s="1"/>
  <c r="BH285" i="14" s="1"/>
  <c r="BI285" i="14" s="1"/>
  <c r="Q227" i="14"/>
  <c r="R227" i="14" s="1"/>
  <c r="S227" i="14" s="1"/>
  <c r="T227" i="14" s="1"/>
  <c r="U227" i="14" s="1"/>
  <c r="V227" i="14" s="1"/>
  <c r="W227" i="14" s="1"/>
  <c r="X227" i="14" s="1"/>
  <c r="Y227" i="14" s="1"/>
  <c r="Z227" i="14" s="1"/>
  <c r="AA227" i="14" s="1"/>
  <c r="AB227" i="14" s="1"/>
  <c r="AC227" i="14" s="1"/>
  <c r="AD227" i="14" s="1"/>
  <c r="AE227" i="14" s="1"/>
  <c r="AF227" i="14" s="1"/>
  <c r="AG227" i="14" s="1"/>
  <c r="AH227" i="14" s="1"/>
  <c r="AI227" i="14" s="1"/>
  <c r="AJ227" i="14" s="1"/>
  <c r="AK227" i="14" s="1"/>
  <c r="AL227" i="14" s="1"/>
  <c r="AM227" i="14" s="1"/>
  <c r="AN227" i="14" s="1"/>
  <c r="AO227" i="14" s="1"/>
  <c r="AP227" i="14" s="1"/>
  <c r="AQ227" i="14" s="1"/>
  <c r="AR227" i="14" s="1"/>
  <c r="AS227" i="14" s="1"/>
  <c r="AT227" i="14" s="1"/>
  <c r="AU227" i="14" s="1"/>
  <c r="AV227" i="14" s="1"/>
  <c r="AW227" i="14" s="1"/>
  <c r="AX227" i="14" s="1"/>
  <c r="AY227" i="14" s="1"/>
  <c r="AZ227" i="14" s="1"/>
  <c r="BA227" i="14" s="1"/>
  <c r="BB227" i="14" s="1"/>
  <c r="BC227" i="14" s="1"/>
  <c r="BD227" i="14" s="1"/>
  <c r="BE227" i="14" s="1"/>
  <c r="BF227" i="14" s="1"/>
  <c r="BG227" i="14" s="1"/>
  <c r="BH227" i="14" s="1"/>
  <c r="BI227" i="14" s="1"/>
  <c r="Q66" i="31"/>
  <c r="R66" i="31" s="1"/>
  <c r="S66" i="31" s="1"/>
  <c r="T66" i="31" s="1"/>
  <c r="U66" i="31" s="1"/>
  <c r="V66" i="31" s="1"/>
  <c r="W66" i="31" s="1"/>
  <c r="X66" i="31" s="1"/>
  <c r="Y66" i="31" s="1"/>
  <c r="Z66" i="31" s="1"/>
  <c r="AA66" i="31" s="1"/>
  <c r="AB66" i="31" s="1"/>
  <c r="AC66" i="31" s="1"/>
  <c r="AD66" i="31" s="1"/>
  <c r="AE66" i="31" s="1"/>
  <c r="AF66" i="31" s="1"/>
  <c r="AG66" i="31" s="1"/>
  <c r="AH66" i="31" s="1"/>
  <c r="AI66" i="31" s="1"/>
  <c r="AJ66" i="31" s="1"/>
  <c r="AK66" i="31" s="1"/>
  <c r="AL66" i="31" s="1"/>
  <c r="AM66" i="31" s="1"/>
  <c r="AN66" i="31" s="1"/>
  <c r="AO66" i="31" s="1"/>
  <c r="AP66" i="31" s="1"/>
  <c r="AQ66" i="31" s="1"/>
  <c r="AR66" i="31" s="1"/>
  <c r="AS66" i="31" s="1"/>
  <c r="AT66" i="31" s="1"/>
  <c r="AU66" i="31" s="1"/>
  <c r="AV66" i="31" s="1"/>
  <c r="AW66" i="31" s="1"/>
  <c r="AX66" i="31" s="1"/>
  <c r="AY66" i="31" s="1"/>
  <c r="AZ66" i="31" s="1"/>
  <c r="BA66" i="31" s="1"/>
  <c r="BB66" i="31" s="1"/>
  <c r="BC66" i="31" s="1"/>
  <c r="BD66" i="31" s="1"/>
  <c r="BE66" i="31" s="1"/>
  <c r="BF66" i="31" s="1"/>
  <c r="BG66" i="31" s="1"/>
  <c r="BH66" i="31" s="1"/>
  <c r="BI66" i="31" s="1"/>
  <c r="Q54" i="31"/>
  <c r="R54" i="31" s="1"/>
  <c r="S54" i="31" s="1"/>
  <c r="T54" i="31" s="1"/>
  <c r="U54" i="31" s="1"/>
  <c r="V54" i="31" s="1"/>
  <c r="W54" i="31" s="1"/>
  <c r="X54" i="31" s="1"/>
  <c r="Y54" i="31" s="1"/>
  <c r="Z54" i="31" s="1"/>
  <c r="AA54" i="31" s="1"/>
  <c r="AB54" i="31" s="1"/>
  <c r="AC54" i="31" s="1"/>
  <c r="AD54" i="31" s="1"/>
  <c r="AE54" i="31" s="1"/>
  <c r="AF54" i="31" s="1"/>
  <c r="AG54" i="31" s="1"/>
  <c r="AH54" i="31" s="1"/>
  <c r="AI54" i="31" s="1"/>
  <c r="AJ54" i="31" s="1"/>
  <c r="AK54" i="31" s="1"/>
  <c r="AL54" i="31" s="1"/>
  <c r="AM54" i="31" s="1"/>
  <c r="AN54" i="31" s="1"/>
  <c r="AO54" i="31" s="1"/>
  <c r="AP54" i="31" s="1"/>
  <c r="AQ54" i="31" s="1"/>
  <c r="AR54" i="31" s="1"/>
  <c r="AS54" i="31" s="1"/>
  <c r="AT54" i="31" s="1"/>
  <c r="AU54" i="31" s="1"/>
  <c r="AV54" i="31" s="1"/>
  <c r="AW54" i="31" s="1"/>
  <c r="AX54" i="31" s="1"/>
  <c r="AY54" i="31" s="1"/>
  <c r="AZ54" i="31" s="1"/>
  <c r="BA54" i="31" s="1"/>
  <c r="BB54" i="31" s="1"/>
  <c r="BC54" i="31" s="1"/>
  <c r="BD54" i="31" s="1"/>
  <c r="BE54" i="31" s="1"/>
  <c r="BF54" i="31" s="1"/>
  <c r="BG54" i="31" s="1"/>
  <c r="BH54" i="31" s="1"/>
  <c r="BI54" i="31" s="1"/>
  <c r="Q20" i="30" l="1"/>
  <c r="R20" i="30" s="1"/>
  <c r="S20" i="30" s="1"/>
  <c r="T20" i="30" s="1"/>
  <c r="U20" i="30" s="1"/>
  <c r="V20" i="30" s="1"/>
  <c r="W20" i="30" s="1"/>
  <c r="X20" i="30" s="1"/>
  <c r="Y20" i="30" s="1"/>
  <c r="Z20" i="30" s="1"/>
  <c r="AA20" i="30" s="1"/>
  <c r="AB20" i="30" s="1"/>
  <c r="AC20" i="30" s="1"/>
  <c r="AD20" i="30" s="1"/>
  <c r="AE20" i="30" s="1"/>
  <c r="AF20" i="30" s="1"/>
  <c r="AG20" i="30" s="1"/>
  <c r="AH20" i="30" s="1"/>
  <c r="AI20" i="30" s="1"/>
  <c r="AJ20" i="30" s="1"/>
  <c r="AK20" i="30" s="1"/>
  <c r="AL20" i="30" s="1"/>
  <c r="AM20" i="30" s="1"/>
  <c r="AN20" i="30" s="1"/>
  <c r="AO20" i="30" s="1"/>
  <c r="AP20" i="30" s="1"/>
  <c r="AQ20" i="30" s="1"/>
  <c r="AR20" i="30" s="1"/>
  <c r="AS20" i="30" s="1"/>
  <c r="AT20" i="30" s="1"/>
  <c r="AU20" i="30" s="1"/>
  <c r="AV20" i="30" s="1"/>
  <c r="AW20" i="30" s="1"/>
  <c r="AX20" i="30" s="1"/>
  <c r="AY20" i="30" s="1"/>
  <c r="AZ20" i="30" s="1"/>
  <c r="BA20" i="30" s="1"/>
  <c r="BB20" i="30" s="1"/>
  <c r="BC20" i="30" s="1"/>
  <c r="BD20" i="30" s="1"/>
  <c r="BE20" i="30" s="1"/>
  <c r="BF20" i="30" s="1"/>
  <c r="BG20" i="30" s="1"/>
  <c r="BH20" i="30" s="1"/>
  <c r="BI20" i="30" s="1"/>
  <c r="T96" i="13" l="1"/>
  <c r="U96" i="13" s="1"/>
  <c r="V96" i="13" s="1"/>
  <c r="D89" i="28"/>
  <c r="E89" i="28" s="1"/>
  <c r="F89" i="28" s="1"/>
  <c r="G89" i="28" s="1"/>
  <c r="H89" i="28" s="1"/>
  <c r="I89" i="28" s="1"/>
  <c r="J89" i="28" s="1"/>
  <c r="K89" i="28" s="1"/>
  <c r="L89" i="28" s="1"/>
  <c r="M89" i="28" s="1"/>
  <c r="N89" i="28" s="1"/>
  <c r="O89" i="28" s="1"/>
  <c r="P89" i="28" s="1"/>
  <c r="Q89" i="28" s="1"/>
  <c r="Q83" i="28"/>
  <c r="U134" i="23"/>
  <c r="V134" i="23" s="1"/>
  <c r="W134" i="23" s="1"/>
  <c r="X134" i="23" s="1"/>
  <c r="Y134" i="23" s="1"/>
  <c r="Z134" i="23" s="1"/>
  <c r="AA134" i="23" s="1"/>
  <c r="AB134" i="23" s="1"/>
  <c r="AC134" i="23" s="1"/>
  <c r="AD134" i="23" s="1"/>
  <c r="AE134" i="23" s="1"/>
  <c r="AF134" i="23" s="1"/>
  <c r="AG134" i="23" s="1"/>
  <c r="AH134" i="23" s="1"/>
  <c r="AI134" i="23" s="1"/>
  <c r="AJ134" i="23" s="1"/>
  <c r="AK134" i="23" s="1"/>
  <c r="AL134" i="23" s="1"/>
  <c r="AM134" i="23" s="1"/>
  <c r="AN134" i="23" s="1"/>
  <c r="AO134" i="23" s="1"/>
  <c r="AP134" i="23" s="1"/>
  <c r="AQ134" i="23" s="1"/>
  <c r="AR134" i="23" s="1"/>
  <c r="AS134" i="23" s="1"/>
  <c r="AT134" i="23" s="1"/>
  <c r="AU134" i="23" s="1"/>
  <c r="AV134" i="23" s="1"/>
  <c r="AW134" i="23" s="1"/>
  <c r="AX134" i="23" s="1"/>
  <c r="AY134" i="23" s="1"/>
  <c r="AZ134" i="23" s="1"/>
  <c r="BA134" i="23" s="1"/>
  <c r="BB134" i="23" s="1"/>
  <c r="BC134" i="23" s="1"/>
  <c r="BD134" i="23" s="1"/>
  <c r="BE134" i="23" s="1"/>
  <c r="BF134" i="23" s="1"/>
  <c r="BG134" i="23" s="1"/>
  <c r="BH134" i="23" s="1"/>
  <c r="BI134" i="23" s="1"/>
  <c r="W147" i="19"/>
  <c r="X147" i="19" s="1"/>
  <c r="Y147" i="19" s="1"/>
  <c r="Z147" i="19" s="1"/>
  <c r="AA147" i="19" s="1"/>
  <c r="AB147" i="19" s="1"/>
  <c r="AC147" i="19" s="1"/>
  <c r="AD147" i="19" s="1"/>
  <c r="AE147" i="19" s="1"/>
  <c r="AF147" i="19" s="1"/>
  <c r="AG147" i="19" s="1"/>
  <c r="AH147" i="19" s="1"/>
  <c r="AI147" i="19" s="1"/>
  <c r="AJ147" i="19" s="1"/>
  <c r="AK147" i="19" s="1"/>
  <c r="AL147" i="19" s="1"/>
  <c r="AM147" i="19" s="1"/>
  <c r="AN147" i="19" s="1"/>
  <c r="AO147" i="19" s="1"/>
  <c r="AP147" i="19" s="1"/>
  <c r="AQ147" i="19" s="1"/>
  <c r="AR147" i="19" s="1"/>
  <c r="AS147" i="19" s="1"/>
  <c r="AT147" i="19" s="1"/>
  <c r="AU147" i="19" s="1"/>
  <c r="AV147" i="19" s="1"/>
  <c r="AW147" i="19" s="1"/>
  <c r="AX147" i="19" s="1"/>
  <c r="AY147" i="19" s="1"/>
  <c r="AZ147" i="19" s="1"/>
  <c r="BA147" i="19" s="1"/>
  <c r="BB147" i="19" s="1"/>
  <c r="BC147" i="19" s="1"/>
  <c r="BD147" i="19" s="1"/>
  <c r="BE147" i="19" s="1"/>
  <c r="BF147" i="19" s="1"/>
  <c r="BG147" i="19" s="1"/>
  <c r="BH147" i="19" s="1"/>
  <c r="BI147" i="19" s="1"/>
  <c r="A254" i="17"/>
  <c r="A253" i="17"/>
  <c r="A116" i="17"/>
  <c r="U251" i="17"/>
  <c r="V251" i="17" s="1"/>
  <c r="W251" i="17" s="1"/>
  <c r="X251" i="17" s="1"/>
  <c r="Y251" i="17" s="1"/>
  <c r="Z251" i="17" s="1"/>
  <c r="AA251" i="17" s="1"/>
  <c r="AB251" i="17" s="1"/>
  <c r="AC251" i="17" s="1"/>
  <c r="AD251" i="17" s="1"/>
  <c r="AE251" i="17" s="1"/>
  <c r="AF251" i="17" s="1"/>
  <c r="AG251" i="17" s="1"/>
  <c r="AH251" i="17" s="1"/>
  <c r="AI251" i="17" s="1"/>
  <c r="AJ251" i="17" s="1"/>
  <c r="AK251" i="17" s="1"/>
  <c r="AL251" i="17" s="1"/>
  <c r="AM251" i="17" s="1"/>
  <c r="AN251" i="17" s="1"/>
  <c r="AO251" i="17" s="1"/>
  <c r="AP251" i="17" s="1"/>
  <c r="AQ251" i="17" s="1"/>
  <c r="AR251" i="17" s="1"/>
  <c r="AS251" i="17" s="1"/>
  <c r="AT251" i="17" s="1"/>
  <c r="AU251" i="17" s="1"/>
  <c r="AV251" i="17" s="1"/>
  <c r="AW251" i="17" s="1"/>
  <c r="AX251" i="17" s="1"/>
  <c r="AY251" i="17" s="1"/>
  <c r="AZ251" i="17" s="1"/>
  <c r="BA251" i="17" s="1"/>
  <c r="BB251" i="17" s="1"/>
  <c r="BC251" i="17" s="1"/>
  <c r="BD251" i="17" s="1"/>
  <c r="BE251" i="17" s="1"/>
  <c r="BF251" i="17" s="1"/>
  <c r="BG251" i="17" s="1"/>
  <c r="BH251" i="17" s="1"/>
  <c r="BI251" i="17" s="1"/>
  <c r="A228" i="14" l="1"/>
  <c r="U300" i="14"/>
  <c r="V300" i="14" s="1"/>
  <c r="W300" i="14" s="1"/>
  <c r="X300" i="14" s="1"/>
  <c r="Y300" i="14" s="1"/>
  <c r="Z300" i="14" s="1"/>
  <c r="AA300" i="14" s="1"/>
  <c r="AB300" i="14" s="1"/>
  <c r="AC300" i="14" s="1"/>
  <c r="AD300" i="14" s="1"/>
  <c r="AE300" i="14" s="1"/>
  <c r="AF300" i="14" s="1"/>
  <c r="AG300" i="14" s="1"/>
  <c r="AH300" i="14" s="1"/>
  <c r="AI300" i="14" s="1"/>
  <c r="AJ300" i="14" s="1"/>
  <c r="AK300" i="14" s="1"/>
  <c r="AL300" i="14" s="1"/>
  <c r="AM300" i="14" s="1"/>
  <c r="AN300" i="14" s="1"/>
  <c r="AO300" i="14" s="1"/>
  <c r="AP300" i="14" s="1"/>
  <c r="AQ300" i="14" s="1"/>
  <c r="AR300" i="14" s="1"/>
  <c r="AS300" i="14" s="1"/>
  <c r="AT300" i="14" s="1"/>
  <c r="AU300" i="14" s="1"/>
  <c r="AV300" i="14" s="1"/>
  <c r="AW300" i="14" s="1"/>
  <c r="AX300" i="14" s="1"/>
  <c r="AY300" i="14" s="1"/>
  <c r="AZ300" i="14" s="1"/>
  <c r="BA300" i="14" s="1"/>
  <c r="BB300" i="14" s="1"/>
  <c r="BC300" i="14" s="1"/>
  <c r="BD300" i="14" s="1"/>
  <c r="BE300" i="14" s="1"/>
  <c r="BF300" i="14" s="1"/>
  <c r="BG300" i="14" s="1"/>
  <c r="BH300" i="14" s="1"/>
  <c r="BI300" i="14" s="1"/>
  <c r="A28" i="19" l="1"/>
  <c r="A26" i="19"/>
  <c r="A25" i="19"/>
  <c r="V92" i="17" l="1"/>
  <c r="V35" i="32"/>
  <c r="V214" i="14"/>
  <c r="U65" i="8" l="1"/>
  <c r="U58" i="8"/>
  <c r="U177" i="13" l="1"/>
  <c r="V177" i="13" s="1"/>
  <c r="W177" i="13" s="1"/>
  <c r="X177" i="13" s="1"/>
  <c r="Y177" i="13" s="1"/>
  <c r="Z177" i="13" s="1"/>
  <c r="AA177" i="13" s="1"/>
  <c r="AB177" i="13" s="1"/>
  <c r="AC177" i="13" s="1"/>
  <c r="AD177" i="13" s="1"/>
  <c r="AE177" i="13" s="1"/>
  <c r="AF177" i="13" s="1"/>
  <c r="AG177" i="13" s="1"/>
  <c r="AH177" i="13" s="1"/>
  <c r="AI177" i="13" s="1"/>
  <c r="AJ177" i="13" s="1"/>
  <c r="AK177" i="13" s="1"/>
  <c r="AL177" i="13" s="1"/>
  <c r="AM177" i="13" s="1"/>
  <c r="AN177" i="13" s="1"/>
  <c r="AO177" i="13" s="1"/>
  <c r="AP177" i="13" s="1"/>
  <c r="AQ177" i="13" s="1"/>
  <c r="AR177" i="13" s="1"/>
  <c r="AS177" i="13" s="1"/>
  <c r="AT177" i="13" s="1"/>
  <c r="AU177" i="13" s="1"/>
  <c r="AV177" i="13" s="1"/>
  <c r="AW177" i="13" s="1"/>
  <c r="AX177" i="13" s="1"/>
  <c r="AY177" i="13" s="1"/>
  <c r="AZ177" i="13" s="1"/>
  <c r="BA177" i="13" s="1"/>
  <c r="BB177" i="13" s="1"/>
  <c r="BC177" i="13" s="1"/>
  <c r="BD177" i="13" s="1"/>
  <c r="BE177" i="13" s="1"/>
  <c r="BF177" i="13" s="1"/>
  <c r="BG177" i="13" s="1"/>
  <c r="BH177" i="13" s="1"/>
  <c r="BI177" i="13" s="1"/>
  <c r="U171" i="13"/>
  <c r="V171" i="13" s="1"/>
  <c r="W171" i="13" s="1"/>
  <c r="X171" i="13" s="1"/>
  <c r="Y171" i="13" s="1"/>
  <c r="Z171" i="13" s="1"/>
  <c r="AA171" i="13" s="1"/>
  <c r="AB171" i="13" s="1"/>
  <c r="AC171" i="13" s="1"/>
  <c r="AD171" i="13" s="1"/>
  <c r="AE171" i="13" s="1"/>
  <c r="AF171" i="13" s="1"/>
  <c r="AG171" i="13" s="1"/>
  <c r="AH171" i="13" s="1"/>
  <c r="AI171" i="13" s="1"/>
  <c r="AJ171" i="13" s="1"/>
  <c r="AK171" i="13" s="1"/>
  <c r="AL171" i="13" s="1"/>
  <c r="AM171" i="13" s="1"/>
  <c r="AN171" i="13" s="1"/>
  <c r="AO171" i="13" s="1"/>
  <c r="AP171" i="13" s="1"/>
  <c r="AQ171" i="13" s="1"/>
  <c r="AR171" i="13" s="1"/>
  <c r="AS171" i="13" s="1"/>
  <c r="AT171" i="13" s="1"/>
  <c r="AU171" i="13" s="1"/>
  <c r="AV171" i="13" s="1"/>
  <c r="AW171" i="13" s="1"/>
  <c r="AX171" i="13" s="1"/>
  <c r="AY171" i="13" s="1"/>
  <c r="AZ171" i="13" s="1"/>
  <c r="BA171" i="13" s="1"/>
  <c r="BB171" i="13" s="1"/>
  <c r="BC171" i="13" s="1"/>
  <c r="BD171" i="13" s="1"/>
  <c r="BE171" i="13" s="1"/>
  <c r="BF171" i="13" s="1"/>
  <c r="BG171" i="13" s="1"/>
  <c r="BH171" i="13" s="1"/>
  <c r="BI171" i="13" s="1"/>
  <c r="S167" i="13"/>
  <c r="AZ167" i="13" s="1"/>
  <c r="S166" i="13"/>
  <c r="BG166" i="13" s="1"/>
  <c r="S165" i="13"/>
  <c r="BG165" i="13" s="1"/>
  <c r="S164" i="13"/>
  <c r="BG164" i="13" s="1"/>
  <c r="T163" i="13"/>
  <c r="U163" i="13" s="1"/>
  <c r="V163" i="13" s="1"/>
  <c r="W163" i="13" s="1"/>
  <c r="X163" i="13" s="1"/>
  <c r="Y163" i="13" s="1"/>
  <c r="Z163" i="13" s="1"/>
  <c r="AA163" i="13" s="1"/>
  <c r="AB163" i="13" s="1"/>
  <c r="AC163" i="13" s="1"/>
  <c r="AD163" i="13" s="1"/>
  <c r="AE163" i="13" s="1"/>
  <c r="AF163" i="13" s="1"/>
  <c r="AG163" i="13" s="1"/>
  <c r="AH163" i="13" s="1"/>
  <c r="AI163" i="13" s="1"/>
  <c r="AJ163" i="13" s="1"/>
  <c r="AK163" i="13" s="1"/>
  <c r="AL163" i="13" s="1"/>
  <c r="AM163" i="13" s="1"/>
  <c r="AN163" i="13" s="1"/>
  <c r="AO163" i="13" s="1"/>
  <c r="AP163" i="13" s="1"/>
  <c r="AQ163" i="13" s="1"/>
  <c r="AR163" i="13" s="1"/>
  <c r="AS163" i="13" s="1"/>
  <c r="AT163" i="13" s="1"/>
  <c r="AU163" i="13" s="1"/>
  <c r="AV163" i="13" s="1"/>
  <c r="AW163" i="13" s="1"/>
  <c r="AX163" i="13" s="1"/>
  <c r="AY163" i="13" s="1"/>
  <c r="AZ163" i="13" s="1"/>
  <c r="BA163" i="13" s="1"/>
  <c r="BB163" i="13" s="1"/>
  <c r="BC163" i="13" s="1"/>
  <c r="BD163" i="13" s="1"/>
  <c r="BE163" i="13" s="1"/>
  <c r="BF163" i="13" s="1"/>
  <c r="BG163" i="13" s="1"/>
  <c r="BH163" i="13" s="1"/>
  <c r="BI163" i="13" s="1"/>
  <c r="T157" i="13"/>
  <c r="U157" i="13" s="1"/>
  <c r="V157" i="13" s="1"/>
  <c r="W157" i="13" s="1"/>
  <c r="X157" i="13" s="1"/>
  <c r="Y157" i="13" s="1"/>
  <c r="Z157" i="13" s="1"/>
  <c r="AA157" i="13" s="1"/>
  <c r="AB157" i="13" s="1"/>
  <c r="AC157" i="13" s="1"/>
  <c r="AD157" i="13" s="1"/>
  <c r="AE157" i="13" s="1"/>
  <c r="AF157" i="13" s="1"/>
  <c r="AG157" i="13" s="1"/>
  <c r="AH157" i="13" s="1"/>
  <c r="AI157" i="13" s="1"/>
  <c r="AJ157" i="13" s="1"/>
  <c r="AK157" i="13" s="1"/>
  <c r="AL157" i="13" s="1"/>
  <c r="AM157" i="13" s="1"/>
  <c r="AN157" i="13" s="1"/>
  <c r="AO157" i="13" s="1"/>
  <c r="AP157" i="13" s="1"/>
  <c r="AQ157" i="13" s="1"/>
  <c r="AR157" i="13" s="1"/>
  <c r="AS157" i="13" s="1"/>
  <c r="AT157" i="13" s="1"/>
  <c r="AU157" i="13" s="1"/>
  <c r="AV157" i="13" s="1"/>
  <c r="AW157" i="13" s="1"/>
  <c r="AX157" i="13" s="1"/>
  <c r="AY157" i="13" s="1"/>
  <c r="AZ157" i="13" s="1"/>
  <c r="BA157" i="13" s="1"/>
  <c r="BB157" i="13" s="1"/>
  <c r="BC157" i="13" s="1"/>
  <c r="BD157" i="13" s="1"/>
  <c r="BE157" i="13" s="1"/>
  <c r="BF157" i="13" s="1"/>
  <c r="BG157" i="13" s="1"/>
  <c r="BH157" i="13" s="1"/>
  <c r="BI157" i="13" s="1"/>
  <c r="B144" i="13"/>
  <c r="B143" i="13"/>
  <c r="B142" i="13"/>
  <c r="B141" i="13" l="1"/>
  <c r="P161" i="13" s="1"/>
  <c r="X165" i="13"/>
  <c r="AN165" i="13"/>
  <c r="BD165" i="13"/>
  <c r="AC165" i="13"/>
  <c r="AS165" i="13"/>
  <c r="BI165" i="13"/>
  <c r="AF165" i="13"/>
  <c r="AV165" i="13"/>
  <c r="AK165" i="13"/>
  <c r="BA165" i="13"/>
  <c r="X164" i="13"/>
  <c r="AF164" i="13"/>
  <c r="AN164" i="13"/>
  <c r="AV164" i="13"/>
  <c r="BD164" i="13"/>
  <c r="X167" i="13"/>
  <c r="AN167" i="13"/>
  <c r="BD167" i="13"/>
  <c r="Y164" i="13"/>
  <c r="AG164" i="13"/>
  <c r="AO164" i="13"/>
  <c r="AW164" i="13"/>
  <c r="BE164" i="13"/>
  <c r="Y165" i="13"/>
  <c r="AG165" i="13"/>
  <c r="AO165" i="13"/>
  <c r="AW165" i="13"/>
  <c r="BE165" i="13"/>
  <c r="AB167" i="13"/>
  <c r="AR167" i="13"/>
  <c r="AB164" i="13"/>
  <c r="AJ164" i="13"/>
  <c r="AR164" i="13"/>
  <c r="AZ164" i="13"/>
  <c r="BH164" i="13"/>
  <c r="AB165" i="13"/>
  <c r="AJ165" i="13"/>
  <c r="AR165" i="13"/>
  <c r="AZ165" i="13"/>
  <c r="BH165" i="13"/>
  <c r="AF167" i="13"/>
  <c r="AV167" i="13"/>
  <c r="AC164" i="13"/>
  <c r="AK164" i="13"/>
  <c r="AS164" i="13"/>
  <c r="BA164" i="13"/>
  <c r="BI164" i="13"/>
  <c r="AJ167" i="13"/>
  <c r="T166" i="13"/>
  <c r="X166" i="13"/>
  <c r="AF166" i="13"/>
  <c r="AN166" i="13"/>
  <c r="AV166" i="13"/>
  <c r="BG167" i="13"/>
  <c r="BF167" i="13"/>
  <c r="BI167" i="13"/>
  <c r="U167" i="13"/>
  <c r="AC166" i="13"/>
  <c r="AK166" i="13"/>
  <c r="AS166" i="13"/>
  <c r="BA166" i="13"/>
  <c r="BI166" i="13"/>
  <c r="AC167" i="13"/>
  <c r="AK167" i="13"/>
  <c r="AS167" i="13"/>
  <c r="T164" i="13"/>
  <c r="U164" i="13"/>
  <c r="V164" i="13"/>
  <c r="Z164" i="13"/>
  <c r="AD164" i="13"/>
  <c r="AH164" i="13"/>
  <c r="AL164" i="13"/>
  <c r="AP164" i="13"/>
  <c r="AT164" i="13"/>
  <c r="AX164" i="13"/>
  <c r="BB164" i="13"/>
  <c r="BF164" i="13"/>
  <c r="V165" i="13"/>
  <c r="Z165" i="13"/>
  <c r="AD165" i="13"/>
  <c r="AH165" i="13"/>
  <c r="AL165" i="13"/>
  <c r="AP165" i="13"/>
  <c r="AT165" i="13"/>
  <c r="AX165" i="13"/>
  <c r="BB165" i="13"/>
  <c r="BF165" i="13"/>
  <c r="V166" i="13"/>
  <c r="Z166" i="13"/>
  <c r="AD166" i="13"/>
  <c r="AH166" i="13"/>
  <c r="AL166" i="13"/>
  <c r="AP166" i="13"/>
  <c r="AT166" i="13"/>
  <c r="AX166" i="13"/>
  <c r="BB166" i="13"/>
  <c r="BF166" i="13"/>
  <c r="V167" i="13"/>
  <c r="Z167" i="13"/>
  <c r="AD167" i="13"/>
  <c r="AH167" i="13"/>
  <c r="AL167" i="13"/>
  <c r="AP167" i="13"/>
  <c r="AT167" i="13"/>
  <c r="AX167" i="13"/>
  <c r="BB167" i="13"/>
  <c r="BH167" i="13"/>
  <c r="U166" i="13"/>
  <c r="AB166" i="13"/>
  <c r="AJ166" i="13"/>
  <c r="AR166" i="13"/>
  <c r="AZ166" i="13"/>
  <c r="BD166" i="13"/>
  <c r="BH166" i="13"/>
  <c r="T167" i="13"/>
  <c r="Y166" i="13"/>
  <c r="AG166" i="13"/>
  <c r="AO166" i="13"/>
  <c r="AW166" i="13"/>
  <c r="BE166" i="13"/>
  <c r="Y167" i="13"/>
  <c r="AG167" i="13"/>
  <c r="AO167" i="13"/>
  <c r="AW167" i="13"/>
  <c r="BA167" i="13"/>
  <c r="BE167" i="13"/>
  <c r="T165" i="13"/>
  <c r="U165" i="13"/>
  <c r="W164" i="13"/>
  <c r="AA164" i="13"/>
  <c r="AE164" i="13"/>
  <c r="AI164" i="13"/>
  <c r="AM164" i="13"/>
  <c r="AQ164" i="13"/>
  <c r="AU164" i="13"/>
  <c r="AY164" i="13"/>
  <c r="BC164" i="13"/>
  <c r="W165" i="13"/>
  <c r="AA165" i="13"/>
  <c r="AE165" i="13"/>
  <c r="AI165" i="13"/>
  <c r="AM165" i="13"/>
  <c r="AQ165" i="13"/>
  <c r="AU165" i="13"/>
  <c r="AY165" i="13"/>
  <c r="BC165" i="13"/>
  <c r="W166" i="13"/>
  <c r="AA166" i="13"/>
  <c r="AE166" i="13"/>
  <c r="AI166" i="13"/>
  <c r="AM166" i="13"/>
  <c r="AQ166" i="13"/>
  <c r="AU166" i="13"/>
  <c r="AY166" i="13"/>
  <c r="BC166" i="13"/>
  <c r="W167" i="13"/>
  <c r="AA167" i="13"/>
  <c r="AE167" i="13"/>
  <c r="AI167" i="13"/>
  <c r="AM167" i="13"/>
  <c r="AQ167" i="13"/>
  <c r="AU167" i="13"/>
  <c r="AY167" i="13"/>
  <c r="BC167" i="13"/>
  <c r="P158" i="13"/>
  <c r="P159" i="13"/>
  <c r="P160" i="13"/>
  <c r="U105" i="17" l="1"/>
  <c r="V105" i="17" s="1"/>
  <c r="W105" i="17" s="1"/>
  <c r="X105" i="17" s="1"/>
  <c r="Y105" i="17" s="1"/>
  <c r="Z105" i="17" s="1"/>
  <c r="AA105" i="17" s="1"/>
  <c r="AB105" i="17" s="1"/>
  <c r="AC105" i="17" s="1"/>
  <c r="AD105" i="17" s="1"/>
  <c r="AE105" i="17" s="1"/>
  <c r="AF105" i="17" s="1"/>
  <c r="AG105" i="17" s="1"/>
  <c r="AH105" i="17" s="1"/>
  <c r="AI105" i="17" s="1"/>
  <c r="AJ105" i="17" s="1"/>
  <c r="AK105" i="17" s="1"/>
  <c r="AL105" i="17" s="1"/>
  <c r="AM105" i="17" s="1"/>
  <c r="AN105" i="17" s="1"/>
  <c r="AO105" i="17" s="1"/>
  <c r="AP105" i="17" s="1"/>
  <c r="AQ105" i="17" s="1"/>
  <c r="AR105" i="17" s="1"/>
  <c r="AS105" i="17" s="1"/>
  <c r="AT105" i="17" s="1"/>
  <c r="AU105" i="17" s="1"/>
  <c r="AV105" i="17" s="1"/>
  <c r="AW105" i="17" s="1"/>
  <c r="AX105" i="17" s="1"/>
  <c r="AY105" i="17" s="1"/>
  <c r="AZ105" i="17" s="1"/>
  <c r="BA105" i="17" s="1"/>
  <c r="BB105" i="17" s="1"/>
  <c r="BC105" i="17" s="1"/>
  <c r="BD105" i="17" s="1"/>
  <c r="BE105" i="17" s="1"/>
  <c r="BF105" i="17" s="1"/>
  <c r="BG105" i="17" s="1"/>
  <c r="BH105" i="17" s="1"/>
  <c r="BI105" i="17" s="1"/>
  <c r="T206" i="17"/>
  <c r="U206" i="17" s="1"/>
  <c r="V206" i="17" s="1"/>
  <c r="W206" i="17" s="1"/>
  <c r="X206" i="17" s="1"/>
  <c r="Y206" i="17" s="1"/>
  <c r="Z206" i="17" s="1"/>
  <c r="AA206" i="17" s="1"/>
  <c r="AB206" i="17" s="1"/>
  <c r="AC206" i="17" s="1"/>
  <c r="AD206" i="17" s="1"/>
  <c r="AE206" i="17" s="1"/>
  <c r="AF206" i="17" s="1"/>
  <c r="AG206" i="17" s="1"/>
  <c r="AH206" i="17" s="1"/>
  <c r="AI206" i="17" s="1"/>
  <c r="AJ206" i="17" s="1"/>
  <c r="AK206" i="17" s="1"/>
  <c r="AL206" i="17" s="1"/>
  <c r="AM206" i="17" s="1"/>
  <c r="AN206" i="17" s="1"/>
  <c r="AO206" i="17" s="1"/>
  <c r="AP206" i="17" s="1"/>
  <c r="AQ206" i="17" s="1"/>
  <c r="AR206" i="17" s="1"/>
  <c r="AS206" i="17" s="1"/>
  <c r="AT206" i="17" s="1"/>
  <c r="AU206" i="17" s="1"/>
  <c r="AV206" i="17" s="1"/>
  <c r="AW206" i="17" s="1"/>
  <c r="AX206" i="17" s="1"/>
  <c r="AY206" i="17" s="1"/>
  <c r="AZ206" i="17" s="1"/>
  <c r="BA206" i="17" s="1"/>
  <c r="BB206" i="17" s="1"/>
  <c r="BC206" i="17" s="1"/>
  <c r="BD206" i="17" s="1"/>
  <c r="BE206" i="17" s="1"/>
  <c r="BF206" i="17" s="1"/>
  <c r="BG206" i="17" s="1"/>
  <c r="BH206" i="17" s="1"/>
  <c r="BI206" i="17" s="1"/>
  <c r="E90" i="34" l="1"/>
  <c r="H55" i="34"/>
  <c r="G55" i="34"/>
  <c r="F55" i="34"/>
  <c r="H19" i="34"/>
  <c r="H90" i="34" s="1"/>
  <c r="G19" i="34"/>
  <c r="G90" i="34" s="1"/>
  <c r="F19" i="34"/>
  <c r="F90" i="34" s="1"/>
  <c r="W96" i="13"/>
  <c r="X96" i="13" s="1"/>
  <c r="Y96" i="13" s="1"/>
  <c r="Z96" i="13" s="1"/>
  <c r="AA96" i="13" s="1"/>
  <c r="AB96" i="13" s="1"/>
  <c r="AC96" i="13" s="1"/>
  <c r="AD96" i="13" s="1"/>
  <c r="AE96" i="13" s="1"/>
  <c r="AF96" i="13" s="1"/>
  <c r="AG96" i="13" s="1"/>
  <c r="AH96" i="13" s="1"/>
  <c r="AI96" i="13" s="1"/>
  <c r="AJ96" i="13" s="1"/>
  <c r="AK96" i="13" s="1"/>
  <c r="AL96" i="13" s="1"/>
  <c r="AM96" i="13" s="1"/>
  <c r="AN96" i="13" s="1"/>
  <c r="AO96" i="13" s="1"/>
  <c r="AP96" i="13" s="1"/>
  <c r="AQ96" i="13" s="1"/>
  <c r="AR96" i="13" s="1"/>
  <c r="AS96" i="13" s="1"/>
  <c r="AT96" i="13" s="1"/>
  <c r="AU96" i="13" s="1"/>
  <c r="AV96" i="13" s="1"/>
  <c r="AW96" i="13" s="1"/>
  <c r="AX96" i="13" s="1"/>
  <c r="AY96" i="13" s="1"/>
  <c r="AZ96" i="13" s="1"/>
  <c r="BA96" i="13" s="1"/>
  <c r="BB96" i="13" s="1"/>
  <c r="BC96" i="13" s="1"/>
  <c r="BD96" i="13" s="1"/>
  <c r="BE96" i="13" s="1"/>
  <c r="BF96" i="13" s="1"/>
  <c r="BG96" i="13" s="1"/>
  <c r="BH96" i="13" s="1"/>
  <c r="BI96" i="13" s="1"/>
  <c r="T89" i="13"/>
  <c r="U89" i="13" s="1"/>
  <c r="V89" i="13" s="1"/>
  <c r="W89" i="13" s="1"/>
  <c r="X89" i="13" s="1"/>
  <c r="Y89" i="13" s="1"/>
  <c r="Z89" i="13" s="1"/>
  <c r="AA89" i="13" s="1"/>
  <c r="AB89" i="13" s="1"/>
  <c r="AC89" i="13" s="1"/>
  <c r="AD89" i="13" s="1"/>
  <c r="AE89" i="13" s="1"/>
  <c r="AF89" i="13" s="1"/>
  <c r="AG89" i="13" s="1"/>
  <c r="AH89" i="13" s="1"/>
  <c r="AI89" i="13" s="1"/>
  <c r="AJ89" i="13" s="1"/>
  <c r="AK89" i="13" s="1"/>
  <c r="AL89" i="13" s="1"/>
  <c r="AM89" i="13" s="1"/>
  <c r="AN89" i="13" s="1"/>
  <c r="AO89" i="13" s="1"/>
  <c r="AP89" i="13" s="1"/>
  <c r="AQ89" i="13" s="1"/>
  <c r="AR89" i="13" s="1"/>
  <c r="AS89" i="13" s="1"/>
  <c r="AT89" i="13" s="1"/>
  <c r="AU89" i="13" s="1"/>
  <c r="AV89" i="13" s="1"/>
  <c r="AW89" i="13" s="1"/>
  <c r="AX89" i="13" s="1"/>
  <c r="AY89" i="13" s="1"/>
  <c r="AZ89" i="13" s="1"/>
  <c r="BA89" i="13" s="1"/>
  <c r="BB89" i="13" s="1"/>
  <c r="BC89" i="13" s="1"/>
  <c r="BD89" i="13" s="1"/>
  <c r="BE89" i="13" s="1"/>
  <c r="BF89" i="13" s="1"/>
  <c r="BG89" i="13" s="1"/>
  <c r="BH89" i="13" s="1"/>
  <c r="BI89" i="13" s="1"/>
  <c r="T84" i="13"/>
  <c r="U84" i="13" s="1"/>
  <c r="V84" i="13" s="1"/>
  <c r="W84" i="13" s="1"/>
  <c r="X84" i="13" s="1"/>
  <c r="Y84" i="13" s="1"/>
  <c r="Z84" i="13" s="1"/>
  <c r="AA84" i="13" s="1"/>
  <c r="AB84" i="13" s="1"/>
  <c r="AC84" i="13" s="1"/>
  <c r="AD84" i="13" s="1"/>
  <c r="AE84" i="13" s="1"/>
  <c r="AF84" i="13" s="1"/>
  <c r="AG84" i="13" s="1"/>
  <c r="AH84" i="13" s="1"/>
  <c r="AI84" i="13" s="1"/>
  <c r="AJ84" i="13" s="1"/>
  <c r="AK84" i="13" s="1"/>
  <c r="AL84" i="13" s="1"/>
  <c r="AM84" i="13" s="1"/>
  <c r="AN84" i="13" s="1"/>
  <c r="AO84" i="13" s="1"/>
  <c r="AP84" i="13" s="1"/>
  <c r="AQ84" i="13" s="1"/>
  <c r="AR84" i="13" s="1"/>
  <c r="AS84" i="13" s="1"/>
  <c r="AT84" i="13" s="1"/>
  <c r="AU84" i="13" s="1"/>
  <c r="AV84" i="13" s="1"/>
  <c r="AW84" i="13" s="1"/>
  <c r="AX84" i="13" s="1"/>
  <c r="AY84" i="13" s="1"/>
  <c r="AZ84" i="13" s="1"/>
  <c r="BA84" i="13" s="1"/>
  <c r="BB84" i="13" s="1"/>
  <c r="BC84" i="13" s="1"/>
  <c r="BD84" i="13" s="1"/>
  <c r="BE84" i="13" s="1"/>
  <c r="BF84" i="13" s="1"/>
  <c r="BG84" i="13" s="1"/>
  <c r="BH84" i="13" s="1"/>
  <c r="BI84" i="13" s="1"/>
  <c r="T77" i="13"/>
  <c r="U77" i="13" s="1"/>
  <c r="V77" i="13" s="1"/>
  <c r="W77" i="13" s="1"/>
  <c r="X77" i="13" s="1"/>
  <c r="Y77" i="13" s="1"/>
  <c r="Z77" i="13" s="1"/>
  <c r="AA77" i="13" s="1"/>
  <c r="AB77" i="13" s="1"/>
  <c r="AC77" i="13" s="1"/>
  <c r="AD77" i="13" s="1"/>
  <c r="AE77" i="13" s="1"/>
  <c r="AF77" i="13" s="1"/>
  <c r="AG77" i="13" s="1"/>
  <c r="AH77" i="13" s="1"/>
  <c r="AI77" i="13" s="1"/>
  <c r="AJ77" i="13" s="1"/>
  <c r="AK77" i="13" s="1"/>
  <c r="AL77" i="13" s="1"/>
  <c r="AM77" i="13" s="1"/>
  <c r="AN77" i="13" s="1"/>
  <c r="AO77" i="13" s="1"/>
  <c r="AP77" i="13" s="1"/>
  <c r="AQ77" i="13" s="1"/>
  <c r="AR77" i="13" s="1"/>
  <c r="AS77" i="13" s="1"/>
  <c r="AT77" i="13" s="1"/>
  <c r="AU77" i="13" s="1"/>
  <c r="AV77" i="13" s="1"/>
  <c r="AW77" i="13" s="1"/>
  <c r="AX77" i="13" s="1"/>
  <c r="AY77" i="13" s="1"/>
  <c r="AZ77" i="13" s="1"/>
  <c r="BA77" i="13" s="1"/>
  <c r="BB77" i="13" s="1"/>
  <c r="BC77" i="13" s="1"/>
  <c r="BD77" i="13" s="1"/>
  <c r="BE77" i="13" s="1"/>
  <c r="BF77" i="13" s="1"/>
  <c r="BG77" i="13" s="1"/>
  <c r="BH77" i="13" s="1"/>
  <c r="BI77" i="13" s="1"/>
  <c r="T72" i="13"/>
  <c r="U72" i="13" s="1"/>
  <c r="V72" i="13" s="1"/>
  <c r="W72" i="13" s="1"/>
  <c r="X72" i="13" s="1"/>
  <c r="Y72" i="13" s="1"/>
  <c r="Z72" i="13" s="1"/>
  <c r="AA72" i="13" s="1"/>
  <c r="AB72" i="13" s="1"/>
  <c r="AC72" i="13" s="1"/>
  <c r="AD72" i="13" s="1"/>
  <c r="AE72" i="13" s="1"/>
  <c r="AF72" i="13" s="1"/>
  <c r="AG72" i="13" s="1"/>
  <c r="AH72" i="13" s="1"/>
  <c r="AI72" i="13" s="1"/>
  <c r="AJ72" i="13" s="1"/>
  <c r="AK72" i="13" s="1"/>
  <c r="AL72" i="13" s="1"/>
  <c r="AM72" i="13" s="1"/>
  <c r="AN72" i="13" s="1"/>
  <c r="AO72" i="13" s="1"/>
  <c r="AP72" i="13" s="1"/>
  <c r="AQ72" i="13" s="1"/>
  <c r="AR72" i="13" s="1"/>
  <c r="AS72" i="13" s="1"/>
  <c r="AT72" i="13" s="1"/>
  <c r="AU72" i="13" s="1"/>
  <c r="AV72" i="13" s="1"/>
  <c r="AW72" i="13" s="1"/>
  <c r="AX72" i="13" s="1"/>
  <c r="AY72" i="13" s="1"/>
  <c r="AZ72" i="13" s="1"/>
  <c r="BA72" i="13" s="1"/>
  <c r="BB72" i="13" s="1"/>
  <c r="BC72" i="13" s="1"/>
  <c r="BD72" i="13" s="1"/>
  <c r="BE72" i="13" s="1"/>
  <c r="BF72" i="13" s="1"/>
  <c r="BG72" i="13" s="1"/>
  <c r="BH72" i="13" s="1"/>
  <c r="BI72" i="13" s="1"/>
  <c r="T214" i="17"/>
  <c r="U214" i="17" s="1"/>
  <c r="V214" i="17" s="1"/>
  <c r="W214" i="17" s="1"/>
  <c r="X214" i="17" s="1"/>
  <c r="Y214" i="17" s="1"/>
  <c r="Z214" i="17" s="1"/>
  <c r="AA214" i="17" s="1"/>
  <c r="AB214" i="17" s="1"/>
  <c r="AC214" i="17" s="1"/>
  <c r="AD214" i="17" s="1"/>
  <c r="AE214" i="17" s="1"/>
  <c r="AF214" i="17" s="1"/>
  <c r="AG214" i="17" s="1"/>
  <c r="AH214" i="17" s="1"/>
  <c r="AI214" i="17" s="1"/>
  <c r="AJ214" i="17" s="1"/>
  <c r="AK214" i="17" s="1"/>
  <c r="AL214" i="17" s="1"/>
  <c r="AM214" i="17" s="1"/>
  <c r="AN214" i="17" s="1"/>
  <c r="AO214" i="17" s="1"/>
  <c r="AP214" i="17" s="1"/>
  <c r="AQ214" i="17" s="1"/>
  <c r="AR214" i="17" s="1"/>
  <c r="AS214" i="17" s="1"/>
  <c r="AT214" i="17" s="1"/>
  <c r="AU214" i="17" s="1"/>
  <c r="AV214" i="17" s="1"/>
  <c r="AW214" i="17" s="1"/>
  <c r="AX214" i="17" s="1"/>
  <c r="AY214" i="17" s="1"/>
  <c r="AZ214" i="17" s="1"/>
  <c r="BA214" i="17" s="1"/>
  <c r="BB214" i="17" s="1"/>
  <c r="BC214" i="17" s="1"/>
  <c r="BD214" i="17" s="1"/>
  <c r="BE214" i="17" s="1"/>
  <c r="BF214" i="17" s="1"/>
  <c r="BG214" i="17" s="1"/>
  <c r="BH214" i="17" s="1"/>
  <c r="BI214" i="17" s="1"/>
  <c r="T34" i="13"/>
  <c r="U34" i="13" s="1"/>
  <c r="V34" i="13" s="1"/>
  <c r="W34" i="13" s="1"/>
  <c r="X34" i="13" s="1"/>
  <c r="Y34" i="13" s="1"/>
  <c r="Z34" i="13" s="1"/>
  <c r="AA34" i="13" s="1"/>
  <c r="AB34" i="13" s="1"/>
  <c r="AC34" i="13" s="1"/>
  <c r="AD34" i="13" s="1"/>
  <c r="AE34" i="13" s="1"/>
  <c r="AF34" i="13" s="1"/>
  <c r="AG34" i="13" s="1"/>
  <c r="AH34" i="13" s="1"/>
  <c r="AI34" i="13" s="1"/>
  <c r="AJ34" i="13" s="1"/>
  <c r="AK34" i="13" s="1"/>
  <c r="AL34" i="13" s="1"/>
  <c r="AM34" i="13" s="1"/>
  <c r="AN34" i="13" s="1"/>
  <c r="AO34" i="13" s="1"/>
  <c r="AP34" i="13" s="1"/>
  <c r="AQ34" i="13" s="1"/>
  <c r="AR34" i="13" s="1"/>
  <c r="AS34" i="13" s="1"/>
  <c r="AT34" i="13" s="1"/>
  <c r="AU34" i="13" s="1"/>
  <c r="AV34" i="13" s="1"/>
  <c r="AW34" i="13" s="1"/>
  <c r="AX34" i="13" s="1"/>
  <c r="AY34" i="13" s="1"/>
  <c r="AZ34" i="13" s="1"/>
  <c r="BA34" i="13" s="1"/>
  <c r="BB34" i="13" s="1"/>
  <c r="BC34" i="13" s="1"/>
  <c r="BD34" i="13" s="1"/>
  <c r="BE34" i="13" s="1"/>
  <c r="BF34" i="13" s="1"/>
  <c r="BG34" i="13" s="1"/>
  <c r="BH34" i="13" s="1"/>
  <c r="BI34" i="13" s="1"/>
  <c r="S178" i="17" l="1"/>
  <c r="T177" i="17"/>
  <c r="U177" i="17" s="1"/>
  <c r="V177" i="17" s="1"/>
  <c r="W177" i="17" s="1"/>
  <c r="X177" i="17" s="1"/>
  <c r="Y177" i="17" s="1"/>
  <c r="Z177" i="17" s="1"/>
  <c r="AA177" i="17" s="1"/>
  <c r="AB177" i="17" s="1"/>
  <c r="AC177" i="17" s="1"/>
  <c r="AD177" i="17" s="1"/>
  <c r="AE177" i="17" s="1"/>
  <c r="AF177" i="17" s="1"/>
  <c r="AG177" i="17" s="1"/>
  <c r="AH177" i="17" s="1"/>
  <c r="AI177" i="17" s="1"/>
  <c r="AJ177" i="17" s="1"/>
  <c r="AK177" i="17" s="1"/>
  <c r="AL177" i="17" s="1"/>
  <c r="AM177" i="17" s="1"/>
  <c r="AN177" i="17" s="1"/>
  <c r="AO177" i="17" s="1"/>
  <c r="AP177" i="17" s="1"/>
  <c r="AQ177" i="17" s="1"/>
  <c r="AR177" i="17" s="1"/>
  <c r="AS177" i="17" s="1"/>
  <c r="AT177" i="17" s="1"/>
  <c r="AU177" i="17" s="1"/>
  <c r="AV177" i="17" s="1"/>
  <c r="AW177" i="17" s="1"/>
  <c r="AX177" i="17" s="1"/>
  <c r="AY177" i="17" s="1"/>
  <c r="AZ177" i="17" s="1"/>
  <c r="BA177" i="17" s="1"/>
  <c r="BB177" i="17" s="1"/>
  <c r="BC177" i="17" s="1"/>
  <c r="BD177" i="17" s="1"/>
  <c r="BE177" i="17" s="1"/>
  <c r="BF177" i="17" s="1"/>
  <c r="BG177" i="17" s="1"/>
  <c r="BH177" i="17" s="1"/>
  <c r="BI177" i="17" s="1"/>
  <c r="S180" i="17" l="1"/>
  <c r="S208" i="17" s="1"/>
  <c r="S35" i="13"/>
  <c r="S98" i="13" s="1"/>
  <c r="Q159" i="17"/>
  <c r="T167" i="17"/>
  <c r="S167" i="17"/>
  <c r="R167" i="17"/>
  <c r="Q167" i="17"/>
  <c r="P167" i="17"/>
  <c r="Q152" i="17"/>
  <c r="P152" i="17"/>
  <c r="S158" i="13" l="1"/>
  <c r="S161" i="13"/>
  <c r="S159" i="13"/>
  <c r="S160" i="13"/>
  <c r="Q158" i="17"/>
  <c r="Q157" i="17" s="1"/>
  <c r="T172" i="17"/>
  <c r="Q172" i="17"/>
  <c r="P172" i="17"/>
  <c r="R172" i="17"/>
  <c r="R173" i="17" s="1"/>
  <c r="R174" i="17" s="1"/>
  <c r="AD178" i="17" s="1"/>
  <c r="AD35" i="13" s="1"/>
  <c r="AD98" i="13" s="1"/>
  <c r="S172" i="17"/>
  <c r="AD180" i="17" l="1"/>
  <c r="AD208" i="17" s="1"/>
  <c r="P173" i="17"/>
  <c r="P174" i="17" s="1"/>
  <c r="T178" i="17" s="1"/>
  <c r="T35" i="13" s="1"/>
  <c r="T98" i="13" s="1"/>
  <c r="Q173" i="17"/>
  <c r="Q174" i="17" s="1"/>
  <c r="Y178" i="17" s="1"/>
  <c r="Y35" i="13" s="1"/>
  <c r="Y98" i="13" s="1"/>
  <c r="S173" i="17"/>
  <c r="S174" i="17" s="1"/>
  <c r="AI178" i="17" s="1"/>
  <c r="AI35" i="13" s="1"/>
  <c r="AI98" i="13" s="1"/>
  <c r="T173" i="17"/>
  <c r="T174" i="17" s="1"/>
  <c r="AN178" i="17" s="1"/>
  <c r="AN35" i="13" s="1"/>
  <c r="AN98" i="13" s="1"/>
  <c r="T179" i="17" l="1"/>
  <c r="T207" i="17" s="1"/>
  <c r="AE178" i="17"/>
  <c r="AE35" i="13" s="1"/>
  <c r="AE98" i="13" s="1"/>
  <c r="AD161" i="13"/>
  <c r="AD158" i="13"/>
  <c r="AD160" i="13"/>
  <c r="AD159" i="13"/>
  <c r="Y180" i="17"/>
  <c r="Y208" i="17" s="1"/>
  <c r="AN180" i="17"/>
  <c r="AN208" i="17" s="1"/>
  <c r="U178" i="17"/>
  <c r="Z178" i="17"/>
  <c r="Z35" i="13" s="1"/>
  <c r="Z98" i="13" s="1"/>
  <c r="T180" i="17"/>
  <c r="T208" i="17" s="1"/>
  <c r="AI180" i="17"/>
  <c r="AI208" i="17" s="1"/>
  <c r="AJ178" i="17"/>
  <c r="AO178" i="17"/>
  <c r="AO35" i="13" s="1"/>
  <c r="AO98" i="13" s="1"/>
  <c r="AJ179" i="17" l="1"/>
  <c r="AJ207" i="17" s="1"/>
  <c r="AJ35" i="13"/>
  <c r="AJ98" i="13" s="1"/>
  <c r="U179" i="17"/>
  <c r="U207" i="17" s="1"/>
  <c r="U35" i="13"/>
  <c r="U98" i="13" s="1"/>
  <c r="AE97" i="13"/>
  <c r="T97" i="13"/>
  <c r="AO180" i="17"/>
  <c r="AO208" i="17" s="1"/>
  <c r="AO179" i="17"/>
  <c r="AO207" i="17" s="1"/>
  <c r="Z180" i="17"/>
  <c r="Z208" i="17" s="1"/>
  <c r="Z179" i="17"/>
  <c r="Z207" i="17" s="1"/>
  <c r="AE180" i="17"/>
  <c r="AE208" i="17" s="1"/>
  <c r="AE179" i="17"/>
  <c r="AE207" i="17" s="1"/>
  <c r="AF178" i="17"/>
  <c r="AF35" i="13" s="1"/>
  <c r="AF98" i="13" s="1"/>
  <c r="Y158" i="13"/>
  <c r="Y161" i="13"/>
  <c r="Y159" i="13"/>
  <c r="Y160" i="13"/>
  <c r="AE158" i="13"/>
  <c r="AE161" i="13"/>
  <c r="AE160" i="13"/>
  <c r="AE159" i="13"/>
  <c r="T158" i="13"/>
  <c r="T161" i="13"/>
  <c r="T160" i="13"/>
  <c r="T159" i="13"/>
  <c r="AI158" i="13"/>
  <c r="AI161" i="13"/>
  <c r="AI159" i="13"/>
  <c r="AI160" i="13"/>
  <c r="AN158" i="13"/>
  <c r="AN161" i="13"/>
  <c r="AN160" i="13"/>
  <c r="AN159" i="13"/>
  <c r="AA178" i="17"/>
  <c r="AA35" i="13" s="1"/>
  <c r="AA98" i="13" s="1"/>
  <c r="U180" i="17"/>
  <c r="U208" i="17" s="1"/>
  <c r="AJ180" i="17"/>
  <c r="AJ208" i="17" s="1"/>
  <c r="V178" i="17"/>
  <c r="V35" i="13" s="1"/>
  <c r="V98" i="13" s="1"/>
  <c r="AP178" i="17"/>
  <c r="AP35" i="13" s="1"/>
  <c r="AP98" i="13" s="1"/>
  <c r="AK178" i="17"/>
  <c r="AK35" i="13" s="1"/>
  <c r="AK98" i="13" s="1"/>
  <c r="V85" i="33"/>
  <c r="W85" i="33" s="1"/>
  <c r="X85" i="33" s="1"/>
  <c r="Y85" i="33" s="1"/>
  <c r="Z85" i="33" s="1"/>
  <c r="AA85" i="33" s="1"/>
  <c r="AB85" i="33" s="1"/>
  <c r="AC85" i="33" s="1"/>
  <c r="AD85" i="33" s="1"/>
  <c r="AE85" i="33" s="1"/>
  <c r="AF85" i="33" s="1"/>
  <c r="AG85" i="33" s="1"/>
  <c r="AH85" i="33" s="1"/>
  <c r="AI85" i="33" s="1"/>
  <c r="AJ85" i="33" s="1"/>
  <c r="AK85" i="33" s="1"/>
  <c r="AL85" i="33" s="1"/>
  <c r="AM85" i="33" s="1"/>
  <c r="AN85" i="33" s="1"/>
  <c r="AO85" i="33" s="1"/>
  <c r="AP85" i="33" s="1"/>
  <c r="AQ85" i="33" s="1"/>
  <c r="AR85" i="33" s="1"/>
  <c r="AS85" i="33" s="1"/>
  <c r="AT85" i="33" s="1"/>
  <c r="AU85" i="33" s="1"/>
  <c r="AV85" i="33" s="1"/>
  <c r="AW85" i="33" s="1"/>
  <c r="AX85" i="33" s="1"/>
  <c r="AY85" i="33" s="1"/>
  <c r="AZ85" i="33" s="1"/>
  <c r="BA85" i="33" s="1"/>
  <c r="BB85" i="33" s="1"/>
  <c r="BC85" i="33" s="1"/>
  <c r="BD85" i="33" s="1"/>
  <c r="BE85" i="33" s="1"/>
  <c r="BF85" i="33" s="1"/>
  <c r="BG85" i="33" s="1"/>
  <c r="BH85" i="33" s="1"/>
  <c r="BI85" i="33" s="1"/>
  <c r="AF180" i="17" l="1"/>
  <c r="AF208" i="17" s="1"/>
  <c r="AJ97" i="13"/>
  <c r="U97" i="13"/>
  <c r="AO97" i="13"/>
  <c r="Z97" i="13"/>
  <c r="AP179" i="17"/>
  <c r="AP207" i="17" s="1"/>
  <c r="AG178" i="17"/>
  <c r="AG35" i="13" s="1"/>
  <c r="AG98" i="13" s="1"/>
  <c r="AF179" i="17"/>
  <c r="AF207" i="17" s="1"/>
  <c r="AK180" i="17"/>
  <c r="AK208" i="17" s="1"/>
  <c r="AK179" i="17"/>
  <c r="AK207" i="17" s="1"/>
  <c r="W178" i="17"/>
  <c r="V179" i="17"/>
  <c r="V207" i="17" s="1"/>
  <c r="AF161" i="13"/>
  <c r="AA161" i="13"/>
  <c r="AA179" i="17"/>
  <c r="AA207" i="17" s="1"/>
  <c r="AB178" i="17"/>
  <c r="AB35" i="13" s="1"/>
  <c r="AB98" i="13" s="1"/>
  <c r="AA180" i="17"/>
  <c r="AA208" i="17" s="1"/>
  <c r="U158" i="13"/>
  <c r="U161" i="13"/>
  <c r="U160" i="13"/>
  <c r="U159" i="13"/>
  <c r="AP158" i="13"/>
  <c r="AP161" i="13"/>
  <c r="AP160" i="13"/>
  <c r="AP159" i="13"/>
  <c r="AO158" i="13"/>
  <c r="AO161" i="13"/>
  <c r="AO160" i="13"/>
  <c r="AO159" i="13"/>
  <c r="AJ158" i="13"/>
  <c r="AJ161" i="13"/>
  <c r="AJ160" i="13"/>
  <c r="AJ159" i="13"/>
  <c r="Z161" i="13"/>
  <c r="Z158" i="13"/>
  <c r="Z159" i="13"/>
  <c r="Z160" i="13"/>
  <c r="AL178" i="17"/>
  <c r="AL35" i="13" s="1"/>
  <c r="AL98" i="13" s="1"/>
  <c r="AP180" i="17"/>
  <c r="AP208" i="17" s="1"/>
  <c r="AQ178" i="17"/>
  <c r="V180" i="17"/>
  <c r="V208" i="17" s="1"/>
  <c r="M71" i="33"/>
  <c r="M70" i="33"/>
  <c r="M69" i="33"/>
  <c r="W179" i="17" l="1"/>
  <c r="W207" i="17" s="1"/>
  <c r="W35" i="13"/>
  <c r="W98" i="13" s="1"/>
  <c r="AQ179" i="17"/>
  <c r="AQ207" i="17" s="1"/>
  <c r="AQ35" i="13"/>
  <c r="AQ98" i="13" s="1"/>
  <c r="AA160" i="13"/>
  <c r="AF160" i="13"/>
  <c r="AF159" i="13"/>
  <c r="AF158" i="13"/>
  <c r="AA158" i="13"/>
  <c r="AB97" i="13"/>
  <c r="X178" i="17"/>
  <c r="AK97" i="13"/>
  <c r="AA97" i="13"/>
  <c r="V97" i="13"/>
  <c r="W180" i="17"/>
  <c r="W208" i="17" s="1"/>
  <c r="AF97" i="13"/>
  <c r="AP97" i="13"/>
  <c r="AA159" i="13"/>
  <c r="AG179" i="17"/>
  <c r="AG207" i="17" s="1"/>
  <c r="AG180" i="17"/>
  <c r="AG208" i="17" s="1"/>
  <c r="AG97" i="13"/>
  <c r="AH178" i="17"/>
  <c r="AH35" i="13" s="1"/>
  <c r="AH98" i="13" s="1"/>
  <c r="AL161" i="13"/>
  <c r="AL179" i="17"/>
  <c r="AL207" i="17" s="1"/>
  <c r="AC178" i="17"/>
  <c r="AC35" i="13" s="1"/>
  <c r="AC98" i="13" s="1"/>
  <c r="AB179" i="17"/>
  <c r="AB207" i="17" s="1"/>
  <c r="AB180" i="17"/>
  <c r="AB208" i="17" s="1"/>
  <c r="V158" i="13"/>
  <c r="V161" i="13"/>
  <c r="V160" i="13"/>
  <c r="V159" i="13"/>
  <c r="AB158" i="13"/>
  <c r="AB161" i="13"/>
  <c r="AB159" i="13"/>
  <c r="AB160" i="13"/>
  <c r="AK158" i="13"/>
  <c r="AK161" i="13"/>
  <c r="AK159" i="13"/>
  <c r="AK160" i="13"/>
  <c r="AM178" i="17"/>
  <c r="AM35" i="13" s="1"/>
  <c r="AM98" i="13" s="1"/>
  <c r="AL180" i="17"/>
  <c r="AL208" i="17" s="1"/>
  <c r="AQ180" i="17"/>
  <c r="AQ208" i="17" s="1"/>
  <c r="AR178" i="17"/>
  <c r="AR35" i="13" s="1"/>
  <c r="AR98" i="13" s="1"/>
  <c r="M74" i="33"/>
  <c r="M72" i="33" s="1"/>
  <c r="M82" i="33" s="1"/>
  <c r="U87" i="33" s="1"/>
  <c r="B64" i="34"/>
  <c r="B61" i="34"/>
  <c r="B59" i="34" s="1"/>
  <c r="B42" i="34"/>
  <c r="B41" i="34" s="1"/>
  <c r="B62" i="34"/>
  <c r="B60" i="34" l="1"/>
  <c r="W158" i="13"/>
  <c r="X180" i="17"/>
  <c r="X208" i="17" s="1"/>
  <c r="X35" i="13"/>
  <c r="X98" i="13" s="1"/>
  <c r="W159" i="13"/>
  <c r="W160" i="13"/>
  <c r="W97" i="13"/>
  <c r="W161" i="13"/>
  <c r="AL159" i="13"/>
  <c r="Y179" i="17"/>
  <c r="Y207" i="17" s="1"/>
  <c r="X179" i="17"/>
  <c r="X207" i="17" s="1"/>
  <c r="AL158" i="13"/>
  <c r="AQ97" i="13"/>
  <c r="AL97" i="13"/>
  <c r="AL160" i="13"/>
  <c r="AH180" i="17"/>
  <c r="AH208" i="17" s="1"/>
  <c r="AH179" i="17"/>
  <c r="AH207" i="17" s="1"/>
  <c r="AI179" i="17"/>
  <c r="AI207" i="17" s="1"/>
  <c r="AC180" i="17"/>
  <c r="AC208" i="17" s="1"/>
  <c r="AC179" i="17"/>
  <c r="AC207" i="17" s="1"/>
  <c r="AD179" i="17"/>
  <c r="AD207" i="17" s="1"/>
  <c r="AG159" i="13"/>
  <c r="AG160" i="13"/>
  <c r="AG158" i="13"/>
  <c r="AG161" i="13"/>
  <c r="AS178" i="17"/>
  <c r="AR179" i="17"/>
  <c r="AR207" i="17" s="1"/>
  <c r="AM180" i="17"/>
  <c r="AM208" i="17" s="1"/>
  <c r="AM179" i="17"/>
  <c r="AM207" i="17" s="1"/>
  <c r="AN179" i="17"/>
  <c r="AN207" i="17" s="1"/>
  <c r="AQ158" i="13"/>
  <c r="AQ161" i="13"/>
  <c r="AQ160" i="13"/>
  <c r="AQ159" i="13"/>
  <c r="AR180" i="17"/>
  <c r="AR208" i="17" s="1"/>
  <c r="V87" i="33"/>
  <c r="B44" i="34"/>
  <c r="Y97" i="13" l="1"/>
  <c r="AS179" i="17"/>
  <c r="AS207" i="17" s="1"/>
  <c r="AS35" i="13"/>
  <c r="AS98" i="13" s="1"/>
  <c r="X158" i="13"/>
  <c r="X161" i="13"/>
  <c r="X160" i="13"/>
  <c r="X97" i="13"/>
  <c r="X159" i="13"/>
  <c r="AT178" i="17"/>
  <c r="AS180" i="17"/>
  <c r="AS208" i="17" s="1"/>
  <c r="AR97" i="13"/>
  <c r="AC97" i="13"/>
  <c r="AD97" i="13"/>
  <c r="AH97" i="13"/>
  <c r="AI97" i="13"/>
  <c r="AM97" i="13"/>
  <c r="AN97" i="13"/>
  <c r="AM159" i="13"/>
  <c r="AC158" i="13"/>
  <c r="AC161" i="13"/>
  <c r="AC160" i="13"/>
  <c r="AC159" i="13"/>
  <c r="AH158" i="13"/>
  <c r="AH160" i="13"/>
  <c r="AH161" i="13"/>
  <c r="AH159" i="13"/>
  <c r="AM158" i="13"/>
  <c r="AM160" i="13"/>
  <c r="AM161" i="13"/>
  <c r="AR158" i="13"/>
  <c r="AR161" i="13"/>
  <c r="AR159" i="13"/>
  <c r="AR160" i="13"/>
  <c r="B23" i="34"/>
  <c r="B25" i="34"/>
  <c r="B24" i="34"/>
  <c r="C88" i="34"/>
  <c r="H36" i="34"/>
  <c r="G36" i="34"/>
  <c r="F36" i="34"/>
  <c r="AS161" i="13" l="1"/>
  <c r="B94" i="34"/>
  <c r="H91" i="34"/>
  <c r="G91" i="34"/>
  <c r="E91" i="34"/>
  <c r="AT179" i="17"/>
  <c r="AT207" i="17" s="1"/>
  <c r="AT35" i="13"/>
  <c r="AT158" i="13" s="1"/>
  <c r="AS158" i="13"/>
  <c r="AS97" i="13"/>
  <c r="AS160" i="13"/>
  <c r="AS159" i="13"/>
  <c r="AU178" i="17"/>
  <c r="AT180" i="17"/>
  <c r="AT208" i="17" s="1"/>
  <c r="B22" i="34"/>
  <c r="F20" i="34"/>
  <c r="F91" i="34" s="1"/>
  <c r="P126" i="19"/>
  <c r="P125" i="19"/>
  <c r="S208" i="14"/>
  <c r="S259" i="14" s="1"/>
  <c r="S228" i="17"/>
  <c r="S227" i="17"/>
  <c r="AT97" i="13" l="1"/>
  <c r="AT161" i="13"/>
  <c r="AT160" i="13"/>
  <c r="C30" i="34"/>
  <c r="C31" i="34" s="1"/>
  <c r="C34" i="34" s="1"/>
  <c r="C69" i="34"/>
  <c r="C70" i="34" s="1"/>
  <c r="C73" i="34" s="1"/>
  <c r="C49" i="34"/>
  <c r="C50" i="34" s="1"/>
  <c r="C53" i="34" s="1"/>
  <c r="H56" i="34" s="1"/>
  <c r="AT159" i="13"/>
  <c r="AT98" i="13"/>
  <c r="AV178" i="17"/>
  <c r="AW178" i="17" s="1"/>
  <c r="AU35" i="13"/>
  <c r="AU180" i="17"/>
  <c r="AU208" i="17" s="1"/>
  <c r="AU179" i="17"/>
  <c r="AU207" i="17" s="1"/>
  <c r="H37" i="34"/>
  <c r="G37" i="34"/>
  <c r="F37" i="34"/>
  <c r="T23" i="30"/>
  <c r="T22" i="30"/>
  <c r="T21" i="30"/>
  <c r="G56" i="34" l="1"/>
  <c r="G76" i="34"/>
  <c r="F76" i="34"/>
  <c r="H76" i="34"/>
  <c r="F56" i="34"/>
  <c r="AU159" i="13"/>
  <c r="AU98" i="13"/>
  <c r="AV180" i="17"/>
  <c r="AV208" i="17" s="1"/>
  <c r="AU160" i="13"/>
  <c r="AW179" i="17"/>
  <c r="AW207" i="17" s="1"/>
  <c r="AW35" i="13"/>
  <c r="AW158" i="13" s="1"/>
  <c r="AV179" i="17"/>
  <c r="AV207" i="17" s="1"/>
  <c r="AV35" i="13"/>
  <c r="AX178" i="17"/>
  <c r="AW180" i="17"/>
  <c r="AW208" i="17" s="1"/>
  <c r="AU161" i="13"/>
  <c r="AU158" i="13"/>
  <c r="AU97" i="13"/>
  <c r="AD172" i="14"/>
  <c r="AV160" i="13" l="1"/>
  <c r="AV98" i="13"/>
  <c r="AV159" i="13"/>
  <c r="AW97" i="13"/>
  <c r="AW98" i="13"/>
  <c r="AW159" i="13"/>
  <c r="AW161" i="13"/>
  <c r="AV161" i="13"/>
  <c r="AV158" i="13"/>
  <c r="AV97" i="13"/>
  <c r="AW160" i="13"/>
  <c r="AX179" i="17"/>
  <c r="AX207" i="17" s="1"/>
  <c r="AX35" i="13"/>
  <c r="AY178" i="17"/>
  <c r="AY180" i="17" s="1"/>
  <c r="AY208" i="17" s="1"/>
  <c r="AX180" i="17"/>
  <c r="AX208" i="17" s="1"/>
  <c r="AZ178" i="17" l="1"/>
  <c r="AZ179" i="17" s="1"/>
  <c r="AZ207" i="17" s="1"/>
  <c r="AX97" i="13"/>
  <c r="AX98" i="13"/>
  <c r="AX159" i="13"/>
  <c r="AX161" i="13"/>
  <c r="AX158" i="13"/>
  <c r="AY179" i="17"/>
  <c r="AY207" i="17" s="1"/>
  <c r="AY35" i="13"/>
  <c r="AX160" i="13"/>
  <c r="U19" i="30"/>
  <c r="U92" i="17"/>
  <c r="U35" i="32"/>
  <c r="U214" i="14"/>
  <c r="BA178" i="17" l="1"/>
  <c r="AZ180" i="17"/>
  <c r="AZ208" i="17" s="1"/>
  <c r="AZ35" i="13"/>
  <c r="AZ98" i="13" s="1"/>
  <c r="AY97" i="13"/>
  <c r="AY98" i="13"/>
  <c r="AY159" i="13"/>
  <c r="AY161" i="13"/>
  <c r="AY158" i="13"/>
  <c r="AY160" i="13"/>
  <c r="BA179" i="17"/>
  <c r="BA207" i="17" s="1"/>
  <c r="BA35" i="13"/>
  <c r="BA98" i="13" s="1"/>
  <c r="BA180" i="17"/>
  <c r="BA208" i="17" s="1"/>
  <c r="BB178" i="17"/>
  <c r="AZ97" i="13" l="1"/>
  <c r="AZ159" i="13"/>
  <c r="AZ160" i="13"/>
  <c r="AZ161" i="13"/>
  <c r="AZ158" i="13"/>
  <c r="BB179" i="17"/>
  <c r="BB207" i="17" s="1"/>
  <c r="BB35" i="13"/>
  <c r="BB98" i="13" s="1"/>
  <c r="BA97" i="13"/>
  <c r="BA158" i="13"/>
  <c r="BA161" i="13"/>
  <c r="BA160" i="13"/>
  <c r="BA159" i="13"/>
  <c r="BB180" i="17"/>
  <c r="BB208" i="17" s="1"/>
  <c r="BC178" i="17"/>
  <c r="BI6" i="33"/>
  <c r="BH6" i="33"/>
  <c r="BG6" i="33"/>
  <c r="BF6" i="33"/>
  <c r="BE6" i="33"/>
  <c r="BD6" i="33"/>
  <c r="BC6" i="33"/>
  <c r="BB6" i="33"/>
  <c r="BA6" i="33"/>
  <c r="AZ6" i="33"/>
  <c r="AY6" i="33"/>
  <c r="AX6" i="33"/>
  <c r="AW6" i="33"/>
  <c r="AV6" i="33"/>
  <c r="AU6" i="33"/>
  <c r="AT6" i="33"/>
  <c r="AS6" i="33"/>
  <c r="AR6" i="33"/>
  <c r="AQ6" i="33"/>
  <c r="AP6" i="33"/>
  <c r="AO6" i="33"/>
  <c r="AN6" i="33"/>
  <c r="AM6" i="33"/>
  <c r="AL6" i="33"/>
  <c r="AK6" i="33"/>
  <c r="AJ6" i="33"/>
  <c r="AI6" i="33"/>
  <c r="AH6" i="33"/>
  <c r="AG6" i="33"/>
  <c r="AF6" i="33"/>
  <c r="AE6" i="33"/>
  <c r="AD6" i="33"/>
  <c r="AC6" i="33"/>
  <c r="AB6" i="33"/>
  <c r="AA6" i="33"/>
  <c r="Z6" i="33"/>
  <c r="Y6" i="33"/>
  <c r="X6" i="33"/>
  <c r="W6" i="33"/>
  <c r="W87" i="33" s="1"/>
  <c r="V6" i="33"/>
  <c r="U6" i="33"/>
  <c r="N6" i="33"/>
  <c r="A3" i="33"/>
  <c r="U37" i="33"/>
  <c r="V37" i="33" s="1"/>
  <c r="W37" i="33" s="1"/>
  <c r="X37" i="33" s="1"/>
  <c r="Y37" i="33" s="1"/>
  <c r="Z37" i="33" s="1"/>
  <c r="AA37" i="33" s="1"/>
  <c r="AB37" i="33" s="1"/>
  <c r="AC37" i="33" s="1"/>
  <c r="AD37" i="33" s="1"/>
  <c r="AE37" i="33" s="1"/>
  <c r="AF37" i="33" s="1"/>
  <c r="AG37" i="33" s="1"/>
  <c r="AH37" i="33" s="1"/>
  <c r="AI37" i="33" s="1"/>
  <c r="AJ37" i="33" s="1"/>
  <c r="AK37" i="33" s="1"/>
  <c r="AL37" i="33" s="1"/>
  <c r="AM37" i="33" s="1"/>
  <c r="AN37" i="33" s="1"/>
  <c r="AO37" i="33" s="1"/>
  <c r="AP37" i="33" s="1"/>
  <c r="AQ37" i="33" s="1"/>
  <c r="AR37" i="33" s="1"/>
  <c r="AS37" i="33" s="1"/>
  <c r="AT37" i="33" s="1"/>
  <c r="AU37" i="33" s="1"/>
  <c r="AV37" i="33" s="1"/>
  <c r="AW37" i="33" s="1"/>
  <c r="AX37" i="33" s="1"/>
  <c r="AY37" i="33" s="1"/>
  <c r="AZ37" i="33" s="1"/>
  <c r="BA37" i="33" s="1"/>
  <c r="BB37" i="33" s="1"/>
  <c r="BC37" i="33" s="1"/>
  <c r="BD37" i="33" s="1"/>
  <c r="BE37" i="33" s="1"/>
  <c r="BF37" i="33" s="1"/>
  <c r="BG37" i="33" s="1"/>
  <c r="BH37" i="33" s="1"/>
  <c r="BI37" i="33" s="1"/>
  <c r="U13" i="33"/>
  <c r="V13" i="33" s="1"/>
  <c r="W13" i="33" s="1"/>
  <c r="X13" i="33" s="1"/>
  <c r="Y13" i="33" s="1"/>
  <c r="Z13" i="33" s="1"/>
  <c r="AA13" i="33" s="1"/>
  <c r="AB13" i="33" s="1"/>
  <c r="AC13" i="33" s="1"/>
  <c r="AD13" i="33" s="1"/>
  <c r="AE13" i="33" s="1"/>
  <c r="AF13" i="33" s="1"/>
  <c r="AG13" i="33" s="1"/>
  <c r="AH13" i="33" s="1"/>
  <c r="AI13" i="33" s="1"/>
  <c r="AJ13" i="33" s="1"/>
  <c r="AK13" i="33" s="1"/>
  <c r="AL13" i="33" s="1"/>
  <c r="AM13" i="33" s="1"/>
  <c r="AN13" i="33" s="1"/>
  <c r="AO13" i="33" s="1"/>
  <c r="AP13" i="33" s="1"/>
  <c r="AQ13" i="33" s="1"/>
  <c r="AR13" i="33" s="1"/>
  <c r="AS13" i="33" s="1"/>
  <c r="AT13" i="33" s="1"/>
  <c r="AU13" i="33" s="1"/>
  <c r="AV13" i="33" s="1"/>
  <c r="AW13" i="33" s="1"/>
  <c r="AX13" i="33" s="1"/>
  <c r="AY13" i="33" s="1"/>
  <c r="AZ13" i="33" s="1"/>
  <c r="BA13" i="33" s="1"/>
  <c r="BB13" i="33" s="1"/>
  <c r="BC13" i="33" s="1"/>
  <c r="BD13" i="33" s="1"/>
  <c r="BE13" i="33" s="1"/>
  <c r="BF13" i="33" s="1"/>
  <c r="BG13" i="33" s="1"/>
  <c r="BH13" i="33" s="1"/>
  <c r="BI13" i="33" s="1"/>
  <c r="O5" i="33"/>
  <c r="P5" i="33" s="1"/>
  <c r="Q5" i="33" s="1"/>
  <c r="R5" i="33" s="1"/>
  <c r="S5" i="33" s="1"/>
  <c r="T5" i="33" s="1"/>
  <c r="U5" i="33" s="1"/>
  <c r="V5" i="33" s="1"/>
  <c r="W5" i="33" s="1"/>
  <c r="X5" i="33" s="1"/>
  <c r="Y5" i="33" s="1"/>
  <c r="Z5" i="33" s="1"/>
  <c r="AA5" i="33" s="1"/>
  <c r="AB5" i="33" s="1"/>
  <c r="AC5" i="33" s="1"/>
  <c r="AD5" i="33" s="1"/>
  <c r="AE5" i="33" s="1"/>
  <c r="AF5" i="33" s="1"/>
  <c r="AG5" i="33" s="1"/>
  <c r="AH5" i="33" s="1"/>
  <c r="AI5" i="33" s="1"/>
  <c r="AJ5" i="33" s="1"/>
  <c r="AK5" i="33" s="1"/>
  <c r="AL5" i="33" s="1"/>
  <c r="AM5" i="33" s="1"/>
  <c r="AN5" i="33" s="1"/>
  <c r="AO5" i="33" s="1"/>
  <c r="AP5" i="33" s="1"/>
  <c r="AQ5" i="33" s="1"/>
  <c r="AR5" i="33" s="1"/>
  <c r="AS5" i="33" s="1"/>
  <c r="AT5" i="33" s="1"/>
  <c r="AU5" i="33" s="1"/>
  <c r="AV5" i="33" s="1"/>
  <c r="AW5" i="33" s="1"/>
  <c r="AX5" i="33" s="1"/>
  <c r="AY5" i="33" s="1"/>
  <c r="AZ5" i="33" s="1"/>
  <c r="BA5" i="33" s="1"/>
  <c r="BB5" i="33" s="1"/>
  <c r="BC5" i="33" s="1"/>
  <c r="BD5" i="33" s="1"/>
  <c r="BE5" i="33" s="1"/>
  <c r="BF5" i="33" s="1"/>
  <c r="BG5" i="33" s="1"/>
  <c r="BH5" i="33" s="1"/>
  <c r="BI5" i="33" s="1"/>
  <c r="T65" i="8"/>
  <c r="T6" i="33" s="1"/>
  <c r="S65" i="8"/>
  <c r="S6" i="33" s="1"/>
  <c r="R65" i="8"/>
  <c r="R6" i="33" s="1"/>
  <c r="Q65" i="8"/>
  <c r="Q6" i="33" s="1"/>
  <c r="P65" i="8"/>
  <c r="P6" i="33" s="1"/>
  <c r="O65" i="8"/>
  <c r="O6" i="33" s="1"/>
  <c r="X87" i="33" l="1"/>
  <c r="BC179" i="17"/>
  <c r="BC207" i="17" s="1"/>
  <c r="BC35" i="13"/>
  <c r="BC98" i="13" s="1"/>
  <c r="BB97" i="13"/>
  <c r="Y87" i="33"/>
  <c r="Z87" i="33" s="1"/>
  <c r="AA87" i="33" s="1"/>
  <c r="AB87" i="33" s="1"/>
  <c r="AC87" i="33" s="1"/>
  <c r="AD87" i="33" s="1"/>
  <c r="AE87" i="33" s="1"/>
  <c r="AF87" i="33" s="1"/>
  <c r="AG87" i="33" s="1"/>
  <c r="AH87" i="33" s="1"/>
  <c r="AI87" i="33" s="1"/>
  <c r="AJ87" i="33" s="1"/>
  <c r="AK87" i="33" s="1"/>
  <c r="AL87" i="33" s="1"/>
  <c r="AM87" i="33" s="1"/>
  <c r="AN87" i="33" s="1"/>
  <c r="AO87" i="33" s="1"/>
  <c r="AP87" i="33" s="1"/>
  <c r="AQ87" i="33" s="1"/>
  <c r="AR87" i="33" s="1"/>
  <c r="AS87" i="33" s="1"/>
  <c r="AT87" i="33" s="1"/>
  <c r="AU87" i="33" s="1"/>
  <c r="AV87" i="33" s="1"/>
  <c r="AW87" i="33" s="1"/>
  <c r="AX87" i="33" s="1"/>
  <c r="AY87" i="33" s="1"/>
  <c r="AZ87" i="33" s="1"/>
  <c r="BA87" i="33" s="1"/>
  <c r="BB87" i="33" s="1"/>
  <c r="BC87" i="33" s="1"/>
  <c r="BD87" i="33" s="1"/>
  <c r="BE87" i="33" s="1"/>
  <c r="BF87" i="33" s="1"/>
  <c r="BG87" i="33" s="1"/>
  <c r="BH87" i="33" s="1"/>
  <c r="BI87" i="33" s="1"/>
  <c r="BB161" i="13"/>
  <c r="BB158" i="13"/>
  <c r="BB160" i="13"/>
  <c r="BB159" i="13"/>
  <c r="BC180" i="17"/>
  <c r="BC208" i="17" s="1"/>
  <c r="BD178" i="17"/>
  <c r="O44" i="33"/>
  <c r="P44" i="33" s="1"/>
  <c r="Q44" i="33" s="1"/>
  <c r="R44" i="33" s="1"/>
  <c r="S44" i="33" s="1"/>
  <c r="T44" i="33" s="1"/>
  <c r="U44" i="33" s="1"/>
  <c r="O42" i="33"/>
  <c r="P42" i="33" s="1"/>
  <c r="Q42" i="33" s="1"/>
  <c r="R42" i="33" s="1"/>
  <c r="S42" i="33" s="1"/>
  <c r="T42" i="33" s="1"/>
  <c r="U42" i="33" s="1"/>
  <c r="O40" i="33"/>
  <c r="P40" i="33" s="1"/>
  <c r="Q40" i="33" s="1"/>
  <c r="R40" i="33" s="1"/>
  <c r="S40" i="33" s="1"/>
  <c r="T40" i="33" s="1"/>
  <c r="U40" i="33" s="1"/>
  <c r="O43" i="33"/>
  <c r="P43" i="33" s="1"/>
  <c r="Q43" i="33" s="1"/>
  <c r="R43" i="33" s="1"/>
  <c r="S43" i="33" s="1"/>
  <c r="T43" i="33" s="1"/>
  <c r="U43" i="33" s="1"/>
  <c r="O41" i="33"/>
  <c r="P41" i="33" s="1"/>
  <c r="Q41" i="33" s="1"/>
  <c r="R41" i="33" s="1"/>
  <c r="S41" i="33" s="1"/>
  <c r="T41" i="33" s="1"/>
  <c r="U41" i="33" s="1"/>
  <c r="O39" i="33"/>
  <c r="P39" i="33" s="1"/>
  <c r="Q39" i="33" s="1"/>
  <c r="R39" i="33" s="1"/>
  <c r="S39" i="33" s="1"/>
  <c r="T39" i="33" s="1"/>
  <c r="U39" i="33" s="1"/>
  <c r="O20" i="33"/>
  <c r="P20" i="33" s="1"/>
  <c r="Q20" i="33" s="1"/>
  <c r="R20" i="33" s="1"/>
  <c r="S20" i="33" s="1"/>
  <c r="T20" i="33" s="1"/>
  <c r="U20" i="33" s="1"/>
  <c r="O15" i="33"/>
  <c r="P15" i="33" s="1"/>
  <c r="Q15" i="33" s="1"/>
  <c r="R15" i="33" s="1"/>
  <c r="S15" i="33" s="1"/>
  <c r="T15" i="33" s="1"/>
  <c r="U15" i="33" s="1"/>
  <c r="O16" i="33"/>
  <c r="P16" i="33" s="1"/>
  <c r="Q16" i="33" s="1"/>
  <c r="R16" i="33" s="1"/>
  <c r="S16" i="33" s="1"/>
  <c r="T16" i="33" s="1"/>
  <c r="U16" i="33" s="1"/>
  <c r="O17" i="33"/>
  <c r="P17" i="33" s="1"/>
  <c r="Q17" i="33" s="1"/>
  <c r="R17" i="33" s="1"/>
  <c r="S17" i="33" s="1"/>
  <c r="T17" i="33" s="1"/>
  <c r="U17" i="33" s="1"/>
  <c r="O18" i="33"/>
  <c r="P18" i="33" s="1"/>
  <c r="Q18" i="33" s="1"/>
  <c r="R18" i="33" s="1"/>
  <c r="S18" i="33" s="1"/>
  <c r="T18" i="33" s="1"/>
  <c r="U18" i="33" s="1"/>
  <c r="O19" i="33"/>
  <c r="P19" i="33" s="1"/>
  <c r="Q19" i="33" s="1"/>
  <c r="R19" i="33" s="1"/>
  <c r="S19" i="33" s="1"/>
  <c r="T19" i="33" s="1"/>
  <c r="U19" i="33" s="1"/>
  <c r="V39" i="33" l="1"/>
  <c r="W39" i="33" s="1"/>
  <c r="X39" i="33" s="1"/>
  <c r="Y39" i="33" s="1"/>
  <c r="Z39" i="33" s="1"/>
  <c r="AA39" i="33" s="1"/>
  <c r="AB39" i="33" s="1"/>
  <c r="AC39" i="33" s="1"/>
  <c r="AD39" i="33" s="1"/>
  <c r="AE39" i="33" s="1"/>
  <c r="AF39" i="33" s="1"/>
  <c r="AG39" i="33" s="1"/>
  <c r="AH39" i="33" s="1"/>
  <c r="AI39" i="33" s="1"/>
  <c r="AJ39" i="33" s="1"/>
  <c r="AK39" i="33" s="1"/>
  <c r="AL39" i="33" s="1"/>
  <c r="AM39" i="33" s="1"/>
  <c r="AN39" i="33" s="1"/>
  <c r="AO39" i="33" s="1"/>
  <c r="AP39" i="33" s="1"/>
  <c r="AQ39" i="33" s="1"/>
  <c r="AR39" i="33" s="1"/>
  <c r="AS39" i="33" s="1"/>
  <c r="AT39" i="33" s="1"/>
  <c r="AU39" i="33" s="1"/>
  <c r="AV39" i="33" s="1"/>
  <c r="AW39" i="33" s="1"/>
  <c r="AX39" i="33" s="1"/>
  <c r="AY39" i="33" s="1"/>
  <c r="AZ39" i="33" s="1"/>
  <c r="BA39" i="33" s="1"/>
  <c r="BB39" i="33" s="1"/>
  <c r="BC39" i="33" s="1"/>
  <c r="BD39" i="33" s="1"/>
  <c r="BE39" i="33" s="1"/>
  <c r="BF39" i="33" s="1"/>
  <c r="BG39" i="33" s="1"/>
  <c r="BH39" i="33" s="1"/>
  <c r="BI39" i="33" s="1"/>
  <c r="V16" i="33"/>
  <c r="W16" i="33" s="1"/>
  <c r="X16" i="33" s="1"/>
  <c r="Y16" i="33" s="1"/>
  <c r="Z16" i="33" s="1"/>
  <c r="AA16" i="33" s="1"/>
  <c r="AB16" i="33" s="1"/>
  <c r="AC16" i="33" s="1"/>
  <c r="AD16" i="33" s="1"/>
  <c r="AE16" i="33" s="1"/>
  <c r="AF16" i="33" s="1"/>
  <c r="AG16" i="33" s="1"/>
  <c r="AH16" i="33" s="1"/>
  <c r="AI16" i="33" s="1"/>
  <c r="AJ16" i="33" s="1"/>
  <c r="AK16" i="33" s="1"/>
  <c r="AL16" i="33" s="1"/>
  <c r="AM16" i="33" s="1"/>
  <c r="AN16" i="33" s="1"/>
  <c r="AO16" i="33" s="1"/>
  <c r="AP16" i="33" s="1"/>
  <c r="AQ16" i="33" s="1"/>
  <c r="AR16" i="33" s="1"/>
  <c r="AS16" i="33" s="1"/>
  <c r="AT16" i="33" s="1"/>
  <c r="AU16" i="33" s="1"/>
  <c r="AV16" i="33" s="1"/>
  <c r="AW16" i="33" s="1"/>
  <c r="AX16" i="33" s="1"/>
  <c r="AY16" i="33" s="1"/>
  <c r="AZ16" i="33" s="1"/>
  <c r="BA16" i="33" s="1"/>
  <c r="BB16" i="33" s="1"/>
  <c r="BC16" i="33" s="1"/>
  <c r="BD16" i="33" s="1"/>
  <c r="BE16" i="33" s="1"/>
  <c r="BF16" i="33" s="1"/>
  <c r="BG16" i="33" s="1"/>
  <c r="BH16" i="33" s="1"/>
  <c r="BI16" i="33" s="1"/>
  <c r="V41" i="33"/>
  <c r="W41" i="33" s="1"/>
  <c r="X41" i="33" s="1"/>
  <c r="Y41" i="33" s="1"/>
  <c r="Z41" i="33" s="1"/>
  <c r="AA41" i="33" s="1"/>
  <c r="AB41" i="33" s="1"/>
  <c r="AC41" i="33" s="1"/>
  <c r="AD41" i="33" s="1"/>
  <c r="AE41" i="33" s="1"/>
  <c r="AF41" i="33" s="1"/>
  <c r="AG41" i="33" s="1"/>
  <c r="AH41" i="33" s="1"/>
  <c r="AI41" i="33" s="1"/>
  <c r="AJ41" i="33" s="1"/>
  <c r="AK41" i="33" s="1"/>
  <c r="AL41" i="33" s="1"/>
  <c r="AM41" i="33" s="1"/>
  <c r="AN41" i="33" s="1"/>
  <c r="AO41" i="33" s="1"/>
  <c r="AP41" i="33" s="1"/>
  <c r="AQ41" i="33" s="1"/>
  <c r="AR41" i="33" s="1"/>
  <c r="AS41" i="33" s="1"/>
  <c r="AT41" i="33" s="1"/>
  <c r="AU41" i="33" s="1"/>
  <c r="AV41" i="33" s="1"/>
  <c r="AW41" i="33" s="1"/>
  <c r="AX41" i="33" s="1"/>
  <c r="AY41" i="33" s="1"/>
  <c r="AZ41" i="33" s="1"/>
  <c r="BA41" i="33" s="1"/>
  <c r="BB41" i="33" s="1"/>
  <c r="BC41" i="33" s="1"/>
  <c r="BD41" i="33" s="1"/>
  <c r="BE41" i="33" s="1"/>
  <c r="BF41" i="33" s="1"/>
  <c r="BG41" i="33" s="1"/>
  <c r="BH41" i="33" s="1"/>
  <c r="BI41" i="33" s="1"/>
  <c r="V44" i="33"/>
  <c r="W44" i="33" s="1"/>
  <c r="X44" i="33" s="1"/>
  <c r="Y44" i="33" s="1"/>
  <c r="Z44" i="33" s="1"/>
  <c r="AA44" i="33" s="1"/>
  <c r="AB44" i="33" s="1"/>
  <c r="AC44" i="33" s="1"/>
  <c r="AD44" i="33" s="1"/>
  <c r="AE44" i="33" s="1"/>
  <c r="AF44" i="33" s="1"/>
  <c r="AG44" i="33" s="1"/>
  <c r="AH44" i="33" s="1"/>
  <c r="AI44" i="33" s="1"/>
  <c r="AJ44" i="33" s="1"/>
  <c r="AK44" i="33" s="1"/>
  <c r="AL44" i="33" s="1"/>
  <c r="AM44" i="33" s="1"/>
  <c r="AN44" i="33" s="1"/>
  <c r="AO44" i="33" s="1"/>
  <c r="AP44" i="33" s="1"/>
  <c r="AQ44" i="33" s="1"/>
  <c r="AR44" i="33" s="1"/>
  <c r="AS44" i="33" s="1"/>
  <c r="AT44" i="33" s="1"/>
  <c r="AU44" i="33" s="1"/>
  <c r="AV44" i="33" s="1"/>
  <c r="AW44" i="33" s="1"/>
  <c r="AX44" i="33" s="1"/>
  <c r="AY44" i="33" s="1"/>
  <c r="AZ44" i="33" s="1"/>
  <c r="BA44" i="33" s="1"/>
  <c r="BB44" i="33" s="1"/>
  <c r="BC44" i="33" s="1"/>
  <c r="BD44" i="33" s="1"/>
  <c r="BE44" i="33" s="1"/>
  <c r="BF44" i="33" s="1"/>
  <c r="BG44" i="33" s="1"/>
  <c r="BH44" i="33" s="1"/>
  <c r="BI44" i="33" s="1"/>
  <c r="V17" i="33"/>
  <c r="W17" i="33" s="1"/>
  <c r="X17" i="33" s="1"/>
  <c r="Y17" i="33" s="1"/>
  <c r="Z17" i="33" s="1"/>
  <c r="AA17" i="33" s="1"/>
  <c r="AB17" i="33" s="1"/>
  <c r="AC17" i="33" s="1"/>
  <c r="AD17" i="33" s="1"/>
  <c r="AE17" i="33" s="1"/>
  <c r="AF17" i="33" s="1"/>
  <c r="AG17" i="33" s="1"/>
  <c r="AH17" i="33" s="1"/>
  <c r="AI17" i="33" s="1"/>
  <c r="AJ17" i="33" s="1"/>
  <c r="AK17" i="33" s="1"/>
  <c r="AL17" i="33" s="1"/>
  <c r="AM17" i="33" s="1"/>
  <c r="AN17" i="33" s="1"/>
  <c r="AO17" i="33" s="1"/>
  <c r="AP17" i="33" s="1"/>
  <c r="AQ17" i="33" s="1"/>
  <c r="AR17" i="33" s="1"/>
  <c r="AS17" i="33" s="1"/>
  <c r="AT17" i="33" s="1"/>
  <c r="AU17" i="33" s="1"/>
  <c r="AV17" i="33" s="1"/>
  <c r="AW17" i="33" s="1"/>
  <c r="AX17" i="33" s="1"/>
  <c r="AY17" i="33" s="1"/>
  <c r="AZ17" i="33" s="1"/>
  <c r="BA17" i="33" s="1"/>
  <c r="BB17" i="33" s="1"/>
  <c r="BC17" i="33" s="1"/>
  <c r="BD17" i="33" s="1"/>
  <c r="BE17" i="33" s="1"/>
  <c r="BF17" i="33" s="1"/>
  <c r="BG17" i="33" s="1"/>
  <c r="BH17" i="33" s="1"/>
  <c r="BI17" i="33" s="1"/>
  <c r="V42" i="33"/>
  <c r="W42" i="33" s="1"/>
  <c r="X42" i="33" s="1"/>
  <c r="Y42" i="33" s="1"/>
  <c r="Z42" i="33" s="1"/>
  <c r="AA42" i="33" s="1"/>
  <c r="AB42" i="33" s="1"/>
  <c r="AC42" i="33" s="1"/>
  <c r="AD42" i="33" s="1"/>
  <c r="AE42" i="33" s="1"/>
  <c r="AF42" i="33" s="1"/>
  <c r="AG42" i="33" s="1"/>
  <c r="AH42" i="33" s="1"/>
  <c r="AI42" i="33" s="1"/>
  <c r="AJ42" i="33" s="1"/>
  <c r="AK42" i="33" s="1"/>
  <c r="AL42" i="33" s="1"/>
  <c r="AM42" i="33" s="1"/>
  <c r="AN42" i="33" s="1"/>
  <c r="AO42" i="33" s="1"/>
  <c r="AP42" i="33" s="1"/>
  <c r="AQ42" i="33" s="1"/>
  <c r="AR42" i="33" s="1"/>
  <c r="AS42" i="33" s="1"/>
  <c r="AT42" i="33" s="1"/>
  <c r="AU42" i="33" s="1"/>
  <c r="AV42" i="33" s="1"/>
  <c r="AW42" i="33" s="1"/>
  <c r="AX42" i="33" s="1"/>
  <c r="AY42" i="33" s="1"/>
  <c r="AZ42" i="33" s="1"/>
  <c r="BA42" i="33" s="1"/>
  <c r="BB42" i="33" s="1"/>
  <c r="BC42" i="33" s="1"/>
  <c r="BD42" i="33" s="1"/>
  <c r="BE42" i="33" s="1"/>
  <c r="BF42" i="33" s="1"/>
  <c r="BG42" i="33" s="1"/>
  <c r="BH42" i="33" s="1"/>
  <c r="BI42" i="33" s="1"/>
  <c r="V19" i="33"/>
  <c r="W19" i="33" s="1"/>
  <c r="X19" i="33" s="1"/>
  <c r="Y19" i="33" s="1"/>
  <c r="Z19" i="33" s="1"/>
  <c r="AA19" i="33" s="1"/>
  <c r="AB19" i="33" s="1"/>
  <c r="AC19" i="33" s="1"/>
  <c r="AD19" i="33" s="1"/>
  <c r="AE19" i="33" s="1"/>
  <c r="AF19" i="33" s="1"/>
  <c r="AG19" i="33" s="1"/>
  <c r="AH19" i="33" s="1"/>
  <c r="AI19" i="33" s="1"/>
  <c r="AJ19" i="33" s="1"/>
  <c r="AK19" i="33" s="1"/>
  <c r="AL19" i="33" s="1"/>
  <c r="AM19" i="33" s="1"/>
  <c r="AN19" i="33" s="1"/>
  <c r="AO19" i="33" s="1"/>
  <c r="AP19" i="33" s="1"/>
  <c r="AQ19" i="33" s="1"/>
  <c r="AR19" i="33" s="1"/>
  <c r="AS19" i="33" s="1"/>
  <c r="AT19" i="33" s="1"/>
  <c r="AU19" i="33" s="1"/>
  <c r="AV19" i="33" s="1"/>
  <c r="AW19" i="33" s="1"/>
  <c r="AX19" i="33" s="1"/>
  <c r="AY19" i="33" s="1"/>
  <c r="AZ19" i="33" s="1"/>
  <c r="BA19" i="33" s="1"/>
  <c r="BB19" i="33" s="1"/>
  <c r="BC19" i="33" s="1"/>
  <c r="BD19" i="33" s="1"/>
  <c r="BE19" i="33" s="1"/>
  <c r="BF19" i="33" s="1"/>
  <c r="BG19" i="33" s="1"/>
  <c r="BH19" i="33" s="1"/>
  <c r="BI19" i="33" s="1"/>
  <c r="V15" i="33"/>
  <c r="W15" i="33" s="1"/>
  <c r="X15" i="33" s="1"/>
  <c r="Y15" i="33" s="1"/>
  <c r="Z15" i="33" s="1"/>
  <c r="AA15" i="33" s="1"/>
  <c r="AB15" i="33" s="1"/>
  <c r="AC15" i="33" s="1"/>
  <c r="AD15" i="33" s="1"/>
  <c r="AE15" i="33" s="1"/>
  <c r="AF15" i="33" s="1"/>
  <c r="AG15" i="33" s="1"/>
  <c r="AH15" i="33" s="1"/>
  <c r="AI15" i="33" s="1"/>
  <c r="AJ15" i="33" s="1"/>
  <c r="AK15" i="33" s="1"/>
  <c r="AL15" i="33" s="1"/>
  <c r="AM15" i="33" s="1"/>
  <c r="AN15" i="33" s="1"/>
  <c r="AO15" i="33" s="1"/>
  <c r="AP15" i="33" s="1"/>
  <c r="AQ15" i="33" s="1"/>
  <c r="AR15" i="33" s="1"/>
  <c r="AS15" i="33" s="1"/>
  <c r="AT15" i="33" s="1"/>
  <c r="AU15" i="33" s="1"/>
  <c r="AV15" i="33" s="1"/>
  <c r="AW15" i="33" s="1"/>
  <c r="AX15" i="33" s="1"/>
  <c r="AY15" i="33" s="1"/>
  <c r="AZ15" i="33" s="1"/>
  <c r="BA15" i="33" s="1"/>
  <c r="BB15" i="33" s="1"/>
  <c r="BC15" i="33" s="1"/>
  <c r="BD15" i="33" s="1"/>
  <c r="BE15" i="33" s="1"/>
  <c r="BF15" i="33" s="1"/>
  <c r="BG15" i="33" s="1"/>
  <c r="BH15" i="33" s="1"/>
  <c r="BI15" i="33" s="1"/>
  <c r="V43" i="33"/>
  <c r="W43" i="33" s="1"/>
  <c r="X43" i="33" s="1"/>
  <c r="Y43" i="33" s="1"/>
  <c r="Z43" i="33" s="1"/>
  <c r="AA43" i="33" s="1"/>
  <c r="AB43" i="33" s="1"/>
  <c r="AC43" i="33" s="1"/>
  <c r="AD43" i="33" s="1"/>
  <c r="AE43" i="33" s="1"/>
  <c r="AF43" i="33" s="1"/>
  <c r="AG43" i="33" s="1"/>
  <c r="AH43" i="33" s="1"/>
  <c r="AI43" i="33" s="1"/>
  <c r="AJ43" i="33" s="1"/>
  <c r="AK43" i="33" s="1"/>
  <c r="AL43" i="33" s="1"/>
  <c r="AM43" i="33" s="1"/>
  <c r="AN43" i="33" s="1"/>
  <c r="AO43" i="33" s="1"/>
  <c r="AP43" i="33" s="1"/>
  <c r="AQ43" i="33" s="1"/>
  <c r="AR43" i="33" s="1"/>
  <c r="AS43" i="33" s="1"/>
  <c r="AT43" i="33" s="1"/>
  <c r="AU43" i="33" s="1"/>
  <c r="AV43" i="33" s="1"/>
  <c r="AW43" i="33" s="1"/>
  <c r="AX43" i="33" s="1"/>
  <c r="AY43" i="33" s="1"/>
  <c r="AZ43" i="33" s="1"/>
  <c r="BA43" i="33" s="1"/>
  <c r="BB43" i="33" s="1"/>
  <c r="BC43" i="33" s="1"/>
  <c r="BD43" i="33" s="1"/>
  <c r="BE43" i="33" s="1"/>
  <c r="BF43" i="33" s="1"/>
  <c r="BG43" i="33" s="1"/>
  <c r="BH43" i="33" s="1"/>
  <c r="BI43" i="33" s="1"/>
  <c r="V18" i="33"/>
  <c r="W18" i="33" s="1"/>
  <c r="X18" i="33" s="1"/>
  <c r="Y18" i="33" s="1"/>
  <c r="Z18" i="33" s="1"/>
  <c r="AA18" i="33" s="1"/>
  <c r="AB18" i="33" s="1"/>
  <c r="AC18" i="33" s="1"/>
  <c r="AD18" i="33" s="1"/>
  <c r="AE18" i="33" s="1"/>
  <c r="AF18" i="33" s="1"/>
  <c r="AG18" i="33" s="1"/>
  <c r="AH18" i="33" s="1"/>
  <c r="AI18" i="33" s="1"/>
  <c r="AJ18" i="33" s="1"/>
  <c r="AK18" i="33" s="1"/>
  <c r="AL18" i="33" s="1"/>
  <c r="AM18" i="33" s="1"/>
  <c r="AN18" i="33" s="1"/>
  <c r="AO18" i="33" s="1"/>
  <c r="AP18" i="33" s="1"/>
  <c r="AQ18" i="33" s="1"/>
  <c r="AR18" i="33" s="1"/>
  <c r="AS18" i="33" s="1"/>
  <c r="AT18" i="33" s="1"/>
  <c r="AU18" i="33" s="1"/>
  <c r="AV18" i="33" s="1"/>
  <c r="AW18" i="33" s="1"/>
  <c r="AX18" i="33" s="1"/>
  <c r="AY18" i="33" s="1"/>
  <c r="AZ18" i="33" s="1"/>
  <c r="BA18" i="33" s="1"/>
  <c r="BB18" i="33" s="1"/>
  <c r="BC18" i="33" s="1"/>
  <c r="BD18" i="33" s="1"/>
  <c r="BE18" i="33" s="1"/>
  <c r="BF18" i="33" s="1"/>
  <c r="BG18" i="33" s="1"/>
  <c r="BH18" i="33" s="1"/>
  <c r="BI18" i="33" s="1"/>
  <c r="V20" i="33"/>
  <c r="W20" i="33" s="1"/>
  <c r="X20" i="33" s="1"/>
  <c r="Y20" i="33" s="1"/>
  <c r="Z20" i="33" s="1"/>
  <c r="AA20" i="33" s="1"/>
  <c r="AB20" i="33" s="1"/>
  <c r="AC20" i="33" s="1"/>
  <c r="AD20" i="33" s="1"/>
  <c r="AE20" i="33" s="1"/>
  <c r="AF20" i="33" s="1"/>
  <c r="AG20" i="33" s="1"/>
  <c r="AH20" i="33" s="1"/>
  <c r="AI20" i="33" s="1"/>
  <c r="AJ20" i="33" s="1"/>
  <c r="AK20" i="33" s="1"/>
  <c r="AL20" i="33" s="1"/>
  <c r="AM20" i="33" s="1"/>
  <c r="AN20" i="33" s="1"/>
  <c r="AO20" i="33" s="1"/>
  <c r="AP20" i="33" s="1"/>
  <c r="AQ20" i="33" s="1"/>
  <c r="AR20" i="33" s="1"/>
  <c r="AS20" i="33" s="1"/>
  <c r="AT20" i="33" s="1"/>
  <c r="AU20" i="33" s="1"/>
  <c r="AV20" i="33" s="1"/>
  <c r="AW20" i="33" s="1"/>
  <c r="AX20" i="33" s="1"/>
  <c r="AY20" i="33" s="1"/>
  <c r="AZ20" i="33" s="1"/>
  <c r="BA20" i="33" s="1"/>
  <c r="BB20" i="33" s="1"/>
  <c r="BC20" i="33" s="1"/>
  <c r="BD20" i="33" s="1"/>
  <c r="BE20" i="33" s="1"/>
  <c r="BF20" i="33" s="1"/>
  <c r="BG20" i="33" s="1"/>
  <c r="BH20" i="33" s="1"/>
  <c r="BI20" i="33" s="1"/>
  <c r="V40" i="33"/>
  <c r="W40" i="33" s="1"/>
  <c r="X40" i="33" s="1"/>
  <c r="Y40" i="33" s="1"/>
  <c r="Z40" i="33" s="1"/>
  <c r="AA40" i="33" s="1"/>
  <c r="AB40" i="33" s="1"/>
  <c r="AC40" i="33" s="1"/>
  <c r="AD40" i="33" s="1"/>
  <c r="AE40" i="33" s="1"/>
  <c r="AF40" i="33" s="1"/>
  <c r="AG40" i="33" s="1"/>
  <c r="AH40" i="33" s="1"/>
  <c r="AI40" i="33" s="1"/>
  <c r="AJ40" i="33" s="1"/>
  <c r="AK40" i="33" s="1"/>
  <c r="AL40" i="33" s="1"/>
  <c r="AM40" i="33" s="1"/>
  <c r="AN40" i="33" s="1"/>
  <c r="AO40" i="33" s="1"/>
  <c r="AP40" i="33" s="1"/>
  <c r="AQ40" i="33" s="1"/>
  <c r="AR40" i="33" s="1"/>
  <c r="AS40" i="33" s="1"/>
  <c r="AT40" i="33" s="1"/>
  <c r="AU40" i="33" s="1"/>
  <c r="AV40" i="33" s="1"/>
  <c r="AW40" i="33" s="1"/>
  <c r="AX40" i="33" s="1"/>
  <c r="AY40" i="33" s="1"/>
  <c r="AZ40" i="33" s="1"/>
  <c r="BA40" i="33" s="1"/>
  <c r="BB40" i="33" s="1"/>
  <c r="BC40" i="33" s="1"/>
  <c r="BD40" i="33" s="1"/>
  <c r="BE40" i="33" s="1"/>
  <c r="BF40" i="33" s="1"/>
  <c r="BG40" i="33" s="1"/>
  <c r="BH40" i="33" s="1"/>
  <c r="BI40" i="33" s="1"/>
  <c r="BD179" i="17"/>
  <c r="BD207" i="17" s="1"/>
  <c r="BD35" i="13"/>
  <c r="BD98" i="13" s="1"/>
  <c r="BC97" i="13"/>
  <c r="BC158" i="13"/>
  <c r="BC161" i="13"/>
  <c r="BC159" i="13"/>
  <c r="BC160" i="13"/>
  <c r="BD180" i="17"/>
  <c r="BD208" i="17" s="1"/>
  <c r="BE178" i="17"/>
  <c r="R123" i="19"/>
  <c r="Q123" i="19"/>
  <c r="A202" i="14"/>
  <c r="S251" i="14" s="1"/>
  <c r="A200" i="14"/>
  <c r="R124" i="19"/>
  <c r="Q124" i="19"/>
  <c r="BE179" i="17" l="1"/>
  <c r="BE207" i="17" s="1"/>
  <c r="BE35" i="13"/>
  <c r="BE98" i="13" s="1"/>
  <c r="BD97" i="13"/>
  <c r="BD158" i="13"/>
  <c r="BD161" i="13"/>
  <c r="BD160" i="13"/>
  <c r="BD159" i="13"/>
  <c r="BE180" i="17"/>
  <c r="BE208" i="17" s="1"/>
  <c r="BF178" i="17"/>
  <c r="BF179" i="17" l="1"/>
  <c r="BF207" i="17" s="1"/>
  <c r="BF35" i="13"/>
  <c r="BF98" i="13" s="1"/>
  <c r="BE97" i="13"/>
  <c r="BE158" i="13"/>
  <c r="BE161" i="13"/>
  <c r="BE159" i="13"/>
  <c r="BE160" i="13"/>
  <c r="BF180" i="17"/>
  <c r="BF208" i="17" s="1"/>
  <c r="BG178" i="17"/>
  <c r="W251" i="14"/>
  <c r="BG179" i="17" l="1"/>
  <c r="BG207" i="17" s="1"/>
  <c r="BG35" i="13"/>
  <c r="BG98" i="13" s="1"/>
  <c r="BF97" i="13"/>
  <c r="BF158" i="13"/>
  <c r="BF161" i="13"/>
  <c r="BF159" i="13"/>
  <c r="BF160" i="13"/>
  <c r="BG180" i="17"/>
  <c r="BG208" i="17" s="1"/>
  <c r="BH178" i="17"/>
  <c r="T35" i="32"/>
  <c r="S35" i="32"/>
  <c r="BH179" i="17" l="1"/>
  <c r="BH207" i="17" s="1"/>
  <c r="BH35" i="13"/>
  <c r="BH98" i="13" s="1"/>
  <c r="BG97" i="13"/>
  <c r="BG158" i="13"/>
  <c r="BG161" i="13"/>
  <c r="BG160" i="13"/>
  <c r="BG159" i="13"/>
  <c r="BH180" i="17"/>
  <c r="BH208" i="17" s="1"/>
  <c r="BI178" i="17"/>
  <c r="BI35" i="13" s="1"/>
  <c r="BI98" i="13" s="1"/>
  <c r="C11" i="32"/>
  <c r="A11" i="32"/>
  <c r="C10" i="32"/>
  <c r="C9" i="32"/>
  <c r="C8" i="32"/>
  <c r="C7" i="32"/>
  <c r="C6" i="32"/>
  <c r="A6" i="32"/>
  <c r="C5" i="32"/>
  <c r="A5" i="32"/>
  <c r="Z6" i="32"/>
  <c r="X6" i="32"/>
  <c r="V6" i="32"/>
  <c r="T6" i="32"/>
  <c r="R6" i="32"/>
  <c r="P6" i="32"/>
  <c r="Z5" i="32"/>
  <c r="X5" i="32"/>
  <c r="V5" i="32"/>
  <c r="T5" i="32"/>
  <c r="R5" i="32"/>
  <c r="P5" i="32"/>
  <c r="Z9" i="32"/>
  <c r="X9" i="32"/>
  <c r="V9" i="32"/>
  <c r="T9" i="32"/>
  <c r="R9" i="32"/>
  <c r="P9" i="32"/>
  <c r="Z8" i="32"/>
  <c r="X8" i="32"/>
  <c r="V8" i="32"/>
  <c r="T8" i="32"/>
  <c r="R8" i="32"/>
  <c r="P8" i="32"/>
  <c r="Z7" i="32"/>
  <c r="X7" i="32"/>
  <c r="V7" i="32"/>
  <c r="T7" i="32"/>
  <c r="T10" i="32" s="1"/>
  <c r="R7" i="32"/>
  <c r="P7" i="32"/>
  <c r="A4" i="32"/>
  <c r="U42" i="32"/>
  <c r="V42" i="32" s="1"/>
  <c r="W42" i="32" s="1"/>
  <c r="X42" i="32" s="1"/>
  <c r="Y42" i="32" s="1"/>
  <c r="Z42" i="32" s="1"/>
  <c r="AA42" i="32" s="1"/>
  <c r="AB42" i="32" s="1"/>
  <c r="AC42" i="32" s="1"/>
  <c r="AD42" i="32" s="1"/>
  <c r="AE42" i="32" s="1"/>
  <c r="AF42" i="32" s="1"/>
  <c r="AG42" i="32" s="1"/>
  <c r="AH42" i="32" s="1"/>
  <c r="AI42" i="32" s="1"/>
  <c r="AJ42" i="32" s="1"/>
  <c r="AK42" i="32" s="1"/>
  <c r="AL42" i="32" s="1"/>
  <c r="AM42" i="32" s="1"/>
  <c r="AN42" i="32" s="1"/>
  <c r="AO42" i="32" s="1"/>
  <c r="AP42" i="32" s="1"/>
  <c r="AQ42" i="32" s="1"/>
  <c r="AR42" i="32" s="1"/>
  <c r="AS42" i="32" s="1"/>
  <c r="AT42" i="32" s="1"/>
  <c r="AU42" i="32" s="1"/>
  <c r="AV42" i="32" s="1"/>
  <c r="AW42" i="32" s="1"/>
  <c r="AX42" i="32" s="1"/>
  <c r="AY42" i="32" s="1"/>
  <c r="AZ42" i="32" s="1"/>
  <c r="BA42" i="32" s="1"/>
  <c r="BB42" i="32" s="1"/>
  <c r="BC42" i="32" s="1"/>
  <c r="BD42" i="32" s="1"/>
  <c r="BE42" i="32" s="1"/>
  <c r="BF42" i="32" s="1"/>
  <c r="BG42" i="32" s="1"/>
  <c r="BH42" i="32" s="1"/>
  <c r="BI42" i="32" s="1"/>
  <c r="U34" i="32"/>
  <c r="V34" i="32" s="1"/>
  <c r="W34" i="32" s="1"/>
  <c r="X34" i="32" s="1"/>
  <c r="Y34" i="32" s="1"/>
  <c r="Z34" i="32" s="1"/>
  <c r="AA34" i="32" s="1"/>
  <c r="AB34" i="32" s="1"/>
  <c r="AC34" i="32" s="1"/>
  <c r="AD34" i="32" s="1"/>
  <c r="AE34" i="32" s="1"/>
  <c r="AF34" i="32" s="1"/>
  <c r="AG34" i="32" s="1"/>
  <c r="AH34" i="32" s="1"/>
  <c r="AI34" i="32" s="1"/>
  <c r="AJ34" i="32" s="1"/>
  <c r="AK34" i="32" s="1"/>
  <c r="AL34" i="32" s="1"/>
  <c r="AM34" i="32" s="1"/>
  <c r="AN34" i="32" s="1"/>
  <c r="AO34" i="32" s="1"/>
  <c r="AP34" i="32" s="1"/>
  <c r="AQ34" i="32" s="1"/>
  <c r="AR34" i="32" s="1"/>
  <c r="AS34" i="32" s="1"/>
  <c r="AT34" i="32" s="1"/>
  <c r="AU34" i="32" s="1"/>
  <c r="AV34" i="32" s="1"/>
  <c r="AW34" i="32" s="1"/>
  <c r="AX34" i="32" s="1"/>
  <c r="AY34" i="32" s="1"/>
  <c r="AZ34" i="32" s="1"/>
  <c r="BA34" i="32" s="1"/>
  <c r="BB34" i="32" s="1"/>
  <c r="BC34" i="32" s="1"/>
  <c r="BD34" i="32" s="1"/>
  <c r="BE34" i="32" s="1"/>
  <c r="BF34" i="32" s="1"/>
  <c r="BG34" i="32" s="1"/>
  <c r="BH34" i="32" s="1"/>
  <c r="BI34" i="32" s="1"/>
  <c r="A28" i="32"/>
  <c r="Q27" i="32"/>
  <c r="A24" i="32"/>
  <c r="Q23" i="32"/>
  <c r="A2" i="32"/>
  <c r="Z10" i="31"/>
  <c r="X10" i="31"/>
  <c r="V10" i="31"/>
  <c r="T10" i="31"/>
  <c r="R10" i="31"/>
  <c r="P10" i="31"/>
  <c r="U65" i="31"/>
  <c r="V65" i="31" s="1"/>
  <c r="W65" i="31" s="1"/>
  <c r="X65" i="31" s="1"/>
  <c r="Y65" i="31" s="1"/>
  <c r="Z65" i="31" s="1"/>
  <c r="AA65" i="31" s="1"/>
  <c r="AB65" i="31" s="1"/>
  <c r="AC65" i="31" s="1"/>
  <c r="AD65" i="31" s="1"/>
  <c r="AE65" i="31" s="1"/>
  <c r="AF65" i="31" s="1"/>
  <c r="AG65" i="31" s="1"/>
  <c r="AH65" i="31" s="1"/>
  <c r="AI65" i="31" s="1"/>
  <c r="AJ65" i="31" s="1"/>
  <c r="AK65" i="31" s="1"/>
  <c r="AL65" i="31" s="1"/>
  <c r="AM65" i="31" s="1"/>
  <c r="AN65" i="31" s="1"/>
  <c r="AO65" i="31" s="1"/>
  <c r="AP65" i="31" s="1"/>
  <c r="AQ65" i="31" s="1"/>
  <c r="AR65" i="31" s="1"/>
  <c r="AS65" i="31" s="1"/>
  <c r="AT65" i="31" s="1"/>
  <c r="AU65" i="31" s="1"/>
  <c r="AV65" i="31" s="1"/>
  <c r="AW65" i="31" s="1"/>
  <c r="AX65" i="31" s="1"/>
  <c r="AY65" i="31" s="1"/>
  <c r="AZ65" i="31" s="1"/>
  <c r="BA65" i="31" s="1"/>
  <c r="BB65" i="31" s="1"/>
  <c r="BC65" i="31" s="1"/>
  <c r="BD65" i="31" s="1"/>
  <c r="BE65" i="31" s="1"/>
  <c r="BF65" i="31" s="1"/>
  <c r="BG65" i="31" s="1"/>
  <c r="BH65" i="31" s="1"/>
  <c r="BI65" i="31" s="1"/>
  <c r="Q38" i="31"/>
  <c r="Q34" i="31"/>
  <c r="A39" i="31"/>
  <c r="A35" i="31"/>
  <c r="U53" i="31"/>
  <c r="V53" i="31" s="1"/>
  <c r="W53" i="31" s="1"/>
  <c r="X53" i="31" s="1"/>
  <c r="Y53" i="31" s="1"/>
  <c r="Z53" i="31" s="1"/>
  <c r="AA53" i="31" s="1"/>
  <c r="AB53" i="31" s="1"/>
  <c r="AC53" i="31" s="1"/>
  <c r="AD53" i="31" s="1"/>
  <c r="AE53" i="31" s="1"/>
  <c r="AF53" i="31" s="1"/>
  <c r="AG53" i="31" s="1"/>
  <c r="AH53" i="31" s="1"/>
  <c r="AI53" i="31" s="1"/>
  <c r="AJ53" i="31" s="1"/>
  <c r="AK53" i="31" s="1"/>
  <c r="AL53" i="31" s="1"/>
  <c r="AM53" i="31" s="1"/>
  <c r="AN53" i="31" s="1"/>
  <c r="AO53" i="31" s="1"/>
  <c r="AP53" i="31" s="1"/>
  <c r="AQ53" i="31" s="1"/>
  <c r="AR53" i="31" s="1"/>
  <c r="AS53" i="31" s="1"/>
  <c r="AT53" i="31" s="1"/>
  <c r="AU53" i="31" s="1"/>
  <c r="AV53" i="31" s="1"/>
  <c r="AW53" i="31" s="1"/>
  <c r="AX53" i="31" s="1"/>
  <c r="AY53" i="31" s="1"/>
  <c r="AZ53" i="31" s="1"/>
  <c r="BA53" i="31" s="1"/>
  <c r="BB53" i="31" s="1"/>
  <c r="BC53" i="31" s="1"/>
  <c r="BD53" i="31" s="1"/>
  <c r="BE53" i="31" s="1"/>
  <c r="BF53" i="31" s="1"/>
  <c r="BG53" i="31" s="1"/>
  <c r="BH53" i="31" s="1"/>
  <c r="BI53" i="31" s="1"/>
  <c r="U45" i="31"/>
  <c r="V45" i="31" s="1"/>
  <c r="W45" i="31" s="1"/>
  <c r="X45" i="31" s="1"/>
  <c r="Y45" i="31" s="1"/>
  <c r="Z45" i="31" s="1"/>
  <c r="AA45" i="31" s="1"/>
  <c r="AB45" i="31" s="1"/>
  <c r="AC45" i="31" s="1"/>
  <c r="AD45" i="31" s="1"/>
  <c r="AE45" i="31" s="1"/>
  <c r="AF45" i="31" s="1"/>
  <c r="AG45" i="31" s="1"/>
  <c r="AH45" i="31" s="1"/>
  <c r="AI45" i="31" s="1"/>
  <c r="AJ45" i="31" s="1"/>
  <c r="AK45" i="31" s="1"/>
  <c r="AL45" i="31" s="1"/>
  <c r="AM45" i="31" s="1"/>
  <c r="AN45" i="31" s="1"/>
  <c r="AO45" i="31" s="1"/>
  <c r="AP45" i="31" s="1"/>
  <c r="AQ45" i="31" s="1"/>
  <c r="AR45" i="31" s="1"/>
  <c r="AS45" i="31" s="1"/>
  <c r="AT45" i="31" s="1"/>
  <c r="AU45" i="31" s="1"/>
  <c r="AV45" i="31" s="1"/>
  <c r="AW45" i="31" s="1"/>
  <c r="AX45" i="31" s="1"/>
  <c r="AY45" i="31" s="1"/>
  <c r="AZ45" i="31" s="1"/>
  <c r="BA45" i="31" s="1"/>
  <c r="BB45" i="31" s="1"/>
  <c r="BC45" i="31" s="1"/>
  <c r="BD45" i="31" s="1"/>
  <c r="BE45" i="31" s="1"/>
  <c r="BF45" i="31" s="1"/>
  <c r="BG45" i="31" s="1"/>
  <c r="BH45" i="31" s="1"/>
  <c r="BI45" i="31" s="1"/>
  <c r="A2" i="31"/>
  <c r="V10" i="32" l="1"/>
  <c r="R10" i="32"/>
  <c r="BH97" i="13"/>
  <c r="BI180" i="17"/>
  <c r="BI208" i="17" s="1"/>
  <c r="BI179" i="17"/>
  <c r="BI207" i="17" s="1"/>
  <c r="BH158" i="13"/>
  <c r="BH161" i="13"/>
  <c r="BH160" i="13"/>
  <c r="BH159" i="13"/>
  <c r="P10" i="32"/>
  <c r="Z10" i="32"/>
  <c r="X10" i="32"/>
  <c r="S47" i="32"/>
  <c r="S46" i="32"/>
  <c r="S48" i="32"/>
  <c r="S49" i="32"/>
  <c r="S44" i="32"/>
  <c r="S45" i="32"/>
  <c r="T45" i="32" l="1"/>
  <c r="S52" i="32"/>
  <c r="S59" i="32"/>
  <c r="T47" i="32"/>
  <c r="S54" i="32"/>
  <c r="S61" i="32"/>
  <c r="T46" i="32"/>
  <c r="S53" i="32"/>
  <c r="S60" i="32"/>
  <c r="T44" i="32"/>
  <c r="S58" i="32"/>
  <c r="S51" i="32"/>
  <c r="T49" i="32"/>
  <c r="S63" i="32"/>
  <c r="S56" i="32"/>
  <c r="T48" i="32"/>
  <c r="S62" i="32"/>
  <c r="S55" i="32"/>
  <c r="BI97" i="13"/>
  <c r="BI158" i="13"/>
  <c r="BI161" i="13"/>
  <c r="BI160" i="13"/>
  <c r="BI159" i="13"/>
  <c r="V12" i="30"/>
  <c r="W12" i="30" s="1"/>
  <c r="X12" i="30" s="1"/>
  <c r="Y12" i="30" s="1"/>
  <c r="Z12" i="30" s="1"/>
  <c r="AA12" i="30" s="1"/>
  <c r="AB12" i="30" s="1"/>
  <c r="AC12" i="30" s="1"/>
  <c r="AD12" i="30" s="1"/>
  <c r="AE12" i="30" s="1"/>
  <c r="AF12" i="30" s="1"/>
  <c r="AG12" i="30" s="1"/>
  <c r="AH12" i="30" s="1"/>
  <c r="AI12" i="30" s="1"/>
  <c r="AJ12" i="30" s="1"/>
  <c r="AK12" i="30" s="1"/>
  <c r="AL12" i="30" s="1"/>
  <c r="AM12" i="30" s="1"/>
  <c r="AN12" i="30" s="1"/>
  <c r="AO12" i="30" s="1"/>
  <c r="AP12" i="30" s="1"/>
  <c r="AQ12" i="30" s="1"/>
  <c r="AR12" i="30" s="1"/>
  <c r="AS12" i="30" s="1"/>
  <c r="AT12" i="30" s="1"/>
  <c r="AU12" i="30" s="1"/>
  <c r="AV12" i="30" s="1"/>
  <c r="AW12" i="30" s="1"/>
  <c r="AX12" i="30" s="1"/>
  <c r="AY12" i="30" s="1"/>
  <c r="AZ12" i="30" s="1"/>
  <c r="BA12" i="30" s="1"/>
  <c r="BB12" i="30" s="1"/>
  <c r="BC12" i="30" s="1"/>
  <c r="BD12" i="30" s="1"/>
  <c r="BE12" i="30" s="1"/>
  <c r="BF12" i="30" s="1"/>
  <c r="BG12" i="30" s="1"/>
  <c r="BH12" i="30" s="1"/>
  <c r="BI12" i="30" s="1"/>
  <c r="U48" i="32" l="1"/>
  <c r="T62" i="32"/>
  <c r="T55" i="32"/>
  <c r="U46" i="32"/>
  <c r="T60" i="32"/>
  <c r="T53" i="32"/>
  <c r="U47" i="32"/>
  <c r="T61" i="32"/>
  <c r="T54" i="32"/>
  <c r="U44" i="32"/>
  <c r="T58" i="32"/>
  <c r="T51" i="32"/>
  <c r="U49" i="32"/>
  <c r="T63" i="32"/>
  <c r="T56" i="32"/>
  <c r="U45" i="32"/>
  <c r="T59" i="32"/>
  <c r="T52" i="32"/>
  <c r="V19" i="30"/>
  <c r="W19" i="30" s="1"/>
  <c r="X19" i="30" s="1"/>
  <c r="Y19" i="30" s="1"/>
  <c r="Z19" i="30" s="1"/>
  <c r="AA19" i="30" s="1"/>
  <c r="AB19" i="30" s="1"/>
  <c r="AC19" i="30" s="1"/>
  <c r="AD19" i="30" s="1"/>
  <c r="AE19" i="30" s="1"/>
  <c r="AF19" i="30" s="1"/>
  <c r="AG19" i="30" s="1"/>
  <c r="AH19" i="30" s="1"/>
  <c r="AI19" i="30" s="1"/>
  <c r="AJ19" i="30" s="1"/>
  <c r="AK19" i="30" s="1"/>
  <c r="AL19" i="30" s="1"/>
  <c r="AM19" i="30" s="1"/>
  <c r="AN19" i="30" s="1"/>
  <c r="AO19" i="30" s="1"/>
  <c r="AP19" i="30" s="1"/>
  <c r="AQ19" i="30" s="1"/>
  <c r="AR19" i="30" s="1"/>
  <c r="AS19" i="30" s="1"/>
  <c r="AT19" i="30" s="1"/>
  <c r="AU19" i="30" s="1"/>
  <c r="AV19" i="30" s="1"/>
  <c r="AW19" i="30" s="1"/>
  <c r="AX19" i="30" s="1"/>
  <c r="AY19" i="30" s="1"/>
  <c r="AZ19" i="30" s="1"/>
  <c r="BA19" i="30" s="1"/>
  <c r="BB19" i="30" s="1"/>
  <c r="BC19" i="30" s="1"/>
  <c r="BD19" i="30" s="1"/>
  <c r="BE19" i="30" s="1"/>
  <c r="BF19" i="30" s="1"/>
  <c r="BG19" i="30" s="1"/>
  <c r="BH19" i="30" s="1"/>
  <c r="BI19" i="30" s="1"/>
  <c r="A2" i="30"/>
  <c r="V45" i="32" l="1"/>
  <c r="U59" i="32"/>
  <c r="U52" i="32"/>
  <c r="V46" i="32"/>
  <c r="U60" i="32"/>
  <c r="U53" i="32"/>
  <c r="V47" i="32"/>
  <c r="U61" i="32"/>
  <c r="U54" i="32"/>
  <c r="V44" i="32"/>
  <c r="U58" i="32"/>
  <c r="U51" i="32"/>
  <c r="V49" i="32"/>
  <c r="U63" i="32"/>
  <c r="U56" i="32"/>
  <c r="V48" i="32"/>
  <c r="U62" i="32"/>
  <c r="U55" i="32"/>
  <c r="U13" i="8"/>
  <c r="U16" i="8" s="1"/>
  <c r="W44" i="32" l="1"/>
  <c r="V58" i="32"/>
  <c r="V51" i="32"/>
  <c r="W48" i="32"/>
  <c r="V62" i="32"/>
  <c r="V55" i="32"/>
  <c r="W46" i="32"/>
  <c r="V60" i="32"/>
  <c r="V53" i="32"/>
  <c r="W47" i="32"/>
  <c r="V61" i="32"/>
  <c r="V54" i="32"/>
  <c r="W49" i="32"/>
  <c r="V56" i="32"/>
  <c r="V63" i="32"/>
  <c r="W45" i="32"/>
  <c r="V52" i="32"/>
  <c r="V59" i="32"/>
  <c r="U61" i="8"/>
  <c r="U56" i="8"/>
  <c r="U39" i="22"/>
  <c r="V39" i="22" s="1"/>
  <c r="W39" i="22" s="1"/>
  <c r="X39" i="22" s="1"/>
  <c r="Y39" i="22" s="1"/>
  <c r="Z39" i="22" s="1"/>
  <c r="AA39" i="22" s="1"/>
  <c r="AB39" i="22" s="1"/>
  <c r="AC39" i="22" s="1"/>
  <c r="AD39" i="22" s="1"/>
  <c r="AE39" i="22" s="1"/>
  <c r="AF39" i="22" s="1"/>
  <c r="AG39" i="22" s="1"/>
  <c r="AH39" i="22" s="1"/>
  <c r="AI39" i="22" s="1"/>
  <c r="AJ39" i="22" s="1"/>
  <c r="AK39" i="22" s="1"/>
  <c r="AL39" i="22" s="1"/>
  <c r="AM39" i="22" s="1"/>
  <c r="AN39" i="22" s="1"/>
  <c r="AO39" i="22" s="1"/>
  <c r="AP39" i="22" s="1"/>
  <c r="AQ39" i="22" s="1"/>
  <c r="AR39" i="22" s="1"/>
  <c r="AS39" i="22" s="1"/>
  <c r="AT39" i="22" s="1"/>
  <c r="AU39" i="22" s="1"/>
  <c r="AV39" i="22" s="1"/>
  <c r="AW39" i="22" s="1"/>
  <c r="AX39" i="22" s="1"/>
  <c r="AY39" i="22" s="1"/>
  <c r="AZ39" i="22" s="1"/>
  <c r="BA39" i="22" s="1"/>
  <c r="BB39" i="22" s="1"/>
  <c r="BC39" i="22" s="1"/>
  <c r="BD39" i="22" s="1"/>
  <c r="BE39" i="22" s="1"/>
  <c r="BF39" i="22" s="1"/>
  <c r="BG39" i="22" s="1"/>
  <c r="BH39" i="22" s="1"/>
  <c r="BI39" i="22" s="1"/>
  <c r="U222" i="24"/>
  <c r="V222" i="24" s="1"/>
  <c r="W222" i="24" s="1"/>
  <c r="X222" i="24" s="1"/>
  <c r="Y222" i="24" s="1"/>
  <c r="Z222" i="24" s="1"/>
  <c r="AA222" i="24" s="1"/>
  <c r="AB222" i="24" s="1"/>
  <c r="AC222" i="24" s="1"/>
  <c r="AD222" i="24" s="1"/>
  <c r="AE222" i="24" s="1"/>
  <c r="AF222" i="24" s="1"/>
  <c r="AG222" i="24" s="1"/>
  <c r="AH222" i="24" s="1"/>
  <c r="AI222" i="24" s="1"/>
  <c r="AJ222" i="24" s="1"/>
  <c r="AK222" i="24" s="1"/>
  <c r="AL222" i="24" s="1"/>
  <c r="AM222" i="24" s="1"/>
  <c r="AN222" i="24" s="1"/>
  <c r="AO222" i="24" s="1"/>
  <c r="AP222" i="24" s="1"/>
  <c r="AQ222" i="24" s="1"/>
  <c r="AR222" i="24" s="1"/>
  <c r="AS222" i="24" s="1"/>
  <c r="AT222" i="24" s="1"/>
  <c r="AU222" i="24" s="1"/>
  <c r="AV222" i="24" s="1"/>
  <c r="AW222" i="24" s="1"/>
  <c r="AX222" i="24" s="1"/>
  <c r="AY222" i="24" s="1"/>
  <c r="AZ222" i="24" s="1"/>
  <c r="BA222" i="24" s="1"/>
  <c r="BB222" i="24" s="1"/>
  <c r="BC222" i="24" s="1"/>
  <c r="BD222" i="24" s="1"/>
  <c r="BE222" i="24" s="1"/>
  <c r="BF222" i="24" s="1"/>
  <c r="BG222" i="24" s="1"/>
  <c r="BH222" i="24" s="1"/>
  <c r="BI222" i="24" s="1"/>
  <c r="U164" i="24"/>
  <c r="V164" i="24" s="1"/>
  <c r="W164" i="24" s="1"/>
  <c r="X164" i="24" s="1"/>
  <c r="Y164" i="24" s="1"/>
  <c r="Z164" i="24" s="1"/>
  <c r="AA164" i="24" s="1"/>
  <c r="AB164" i="24" s="1"/>
  <c r="AC164" i="24" s="1"/>
  <c r="AD164" i="24" s="1"/>
  <c r="AE164" i="24" s="1"/>
  <c r="AF164" i="24" s="1"/>
  <c r="AG164" i="24" s="1"/>
  <c r="AH164" i="24" s="1"/>
  <c r="AI164" i="24" s="1"/>
  <c r="AJ164" i="24" s="1"/>
  <c r="AK164" i="24" s="1"/>
  <c r="AL164" i="24" s="1"/>
  <c r="AM164" i="24" s="1"/>
  <c r="AN164" i="24" s="1"/>
  <c r="AO164" i="24" s="1"/>
  <c r="AP164" i="24" s="1"/>
  <c r="AQ164" i="24" s="1"/>
  <c r="AR164" i="24" s="1"/>
  <c r="AS164" i="24" s="1"/>
  <c r="AT164" i="24" s="1"/>
  <c r="AU164" i="24" s="1"/>
  <c r="AV164" i="24" s="1"/>
  <c r="AW164" i="24" s="1"/>
  <c r="AX164" i="24" s="1"/>
  <c r="AY164" i="24" s="1"/>
  <c r="AZ164" i="24" s="1"/>
  <c r="BA164" i="24" s="1"/>
  <c r="BB164" i="24" s="1"/>
  <c r="BC164" i="24" s="1"/>
  <c r="BD164" i="24" s="1"/>
  <c r="BE164" i="24" s="1"/>
  <c r="BF164" i="24" s="1"/>
  <c r="BG164" i="24" s="1"/>
  <c r="BH164" i="24" s="1"/>
  <c r="BI164" i="24" s="1"/>
  <c r="U139" i="24"/>
  <c r="V139" i="24" s="1"/>
  <c r="W139" i="24" s="1"/>
  <c r="X139" i="24" s="1"/>
  <c r="Y139" i="24" s="1"/>
  <c r="Z139" i="24" s="1"/>
  <c r="AA139" i="24" s="1"/>
  <c r="AB139" i="24" s="1"/>
  <c r="AC139" i="24" s="1"/>
  <c r="AD139" i="24" s="1"/>
  <c r="AE139" i="24" s="1"/>
  <c r="AF139" i="24" s="1"/>
  <c r="AG139" i="24" s="1"/>
  <c r="AH139" i="24" s="1"/>
  <c r="AI139" i="24" s="1"/>
  <c r="AJ139" i="24" s="1"/>
  <c r="AK139" i="24" s="1"/>
  <c r="AL139" i="24" s="1"/>
  <c r="AM139" i="24" s="1"/>
  <c r="AN139" i="24" s="1"/>
  <c r="AO139" i="24" s="1"/>
  <c r="AP139" i="24" s="1"/>
  <c r="AQ139" i="24" s="1"/>
  <c r="AR139" i="24" s="1"/>
  <c r="AS139" i="24" s="1"/>
  <c r="AT139" i="24" s="1"/>
  <c r="AU139" i="24" s="1"/>
  <c r="AV139" i="24" s="1"/>
  <c r="AW139" i="24" s="1"/>
  <c r="AX139" i="24" s="1"/>
  <c r="AY139" i="24" s="1"/>
  <c r="AZ139" i="24" s="1"/>
  <c r="BA139" i="24" s="1"/>
  <c r="BB139" i="24" s="1"/>
  <c r="BC139" i="24" s="1"/>
  <c r="BD139" i="24" s="1"/>
  <c r="BE139" i="24" s="1"/>
  <c r="BF139" i="24" s="1"/>
  <c r="BG139" i="24" s="1"/>
  <c r="BH139" i="24" s="1"/>
  <c r="BI139" i="24" s="1"/>
  <c r="X46" i="32" l="1"/>
  <c r="W60" i="32"/>
  <c r="W53" i="32"/>
  <c r="X45" i="32"/>
  <c r="W59" i="32"/>
  <c r="W52" i="32"/>
  <c r="X48" i="32"/>
  <c r="W62" i="32"/>
  <c r="W55" i="32"/>
  <c r="X47" i="32"/>
  <c r="W61" i="32"/>
  <c r="W54" i="32"/>
  <c r="X49" i="32"/>
  <c r="W63" i="32"/>
  <c r="W56" i="32"/>
  <c r="X44" i="32"/>
  <c r="W58" i="32"/>
  <c r="W51" i="32"/>
  <c r="U113" i="24"/>
  <c r="V113" i="24" s="1"/>
  <c r="W113" i="24" s="1"/>
  <c r="X113" i="24" s="1"/>
  <c r="Y113" i="24" s="1"/>
  <c r="Z113" i="24" s="1"/>
  <c r="AA113" i="24" s="1"/>
  <c r="AB113" i="24" s="1"/>
  <c r="AC113" i="24" s="1"/>
  <c r="AD113" i="24" s="1"/>
  <c r="AE113" i="24" s="1"/>
  <c r="AF113" i="24" s="1"/>
  <c r="AG113" i="24" s="1"/>
  <c r="AH113" i="24" s="1"/>
  <c r="AI113" i="24" s="1"/>
  <c r="AJ113" i="24" s="1"/>
  <c r="AK113" i="24" s="1"/>
  <c r="AL113" i="24" s="1"/>
  <c r="AM113" i="24" s="1"/>
  <c r="AN113" i="24" s="1"/>
  <c r="AO113" i="24" s="1"/>
  <c r="AP113" i="24" s="1"/>
  <c r="AQ113" i="24" s="1"/>
  <c r="AR113" i="24" s="1"/>
  <c r="AS113" i="24" s="1"/>
  <c r="AT113" i="24" s="1"/>
  <c r="AU113" i="24" s="1"/>
  <c r="AV113" i="24" s="1"/>
  <c r="AW113" i="24" s="1"/>
  <c r="AX113" i="24" s="1"/>
  <c r="AY113" i="24" s="1"/>
  <c r="AZ113" i="24" s="1"/>
  <c r="BA113" i="24" s="1"/>
  <c r="BB113" i="24" s="1"/>
  <c r="BC113" i="24" s="1"/>
  <c r="BD113" i="24" s="1"/>
  <c r="BE113" i="24" s="1"/>
  <c r="BF113" i="24" s="1"/>
  <c r="BG113" i="24" s="1"/>
  <c r="BH113" i="24" s="1"/>
  <c r="BI113" i="24" s="1"/>
  <c r="V121" i="23"/>
  <c r="W121" i="23" s="1"/>
  <c r="X121" i="23" s="1"/>
  <c r="Y121" i="23" s="1"/>
  <c r="Z121" i="23" s="1"/>
  <c r="AA121" i="23" s="1"/>
  <c r="AB121" i="23" s="1"/>
  <c r="AC121" i="23" s="1"/>
  <c r="AD121" i="23" s="1"/>
  <c r="AE121" i="23" s="1"/>
  <c r="AF121" i="23" s="1"/>
  <c r="AG121" i="23" s="1"/>
  <c r="AH121" i="23" s="1"/>
  <c r="AI121" i="23" s="1"/>
  <c r="AJ121" i="23" s="1"/>
  <c r="AK121" i="23" s="1"/>
  <c r="AL121" i="23" s="1"/>
  <c r="AM121" i="23" s="1"/>
  <c r="AN121" i="23" s="1"/>
  <c r="AO121" i="23" s="1"/>
  <c r="AP121" i="23" s="1"/>
  <c r="AQ121" i="23" s="1"/>
  <c r="AR121" i="23" s="1"/>
  <c r="AS121" i="23" s="1"/>
  <c r="AT121" i="23" s="1"/>
  <c r="AU121" i="23" s="1"/>
  <c r="AV121" i="23" s="1"/>
  <c r="AW121" i="23" s="1"/>
  <c r="AX121" i="23" s="1"/>
  <c r="AY121" i="23" s="1"/>
  <c r="AZ121" i="23" s="1"/>
  <c r="BA121" i="23" s="1"/>
  <c r="BB121" i="23" s="1"/>
  <c r="BC121" i="23" s="1"/>
  <c r="BD121" i="23" s="1"/>
  <c r="BE121" i="23" s="1"/>
  <c r="BF121" i="23" s="1"/>
  <c r="BG121" i="23" s="1"/>
  <c r="BH121" i="23" s="1"/>
  <c r="BI121" i="23" s="1"/>
  <c r="U121" i="23"/>
  <c r="U105" i="23"/>
  <c r="V105" i="23" s="1"/>
  <c r="W105" i="23" s="1"/>
  <c r="X105" i="23" s="1"/>
  <c r="Y105" i="23" s="1"/>
  <c r="Z105" i="23" s="1"/>
  <c r="AA105" i="23" s="1"/>
  <c r="AB105" i="23" s="1"/>
  <c r="AC105" i="23" s="1"/>
  <c r="AD105" i="23" s="1"/>
  <c r="AE105" i="23" s="1"/>
  <c r="AF105" i="23" s="1"/>
  <c r="AG105" i="23" s="1"/>
  <c r="AH105" i="23" s="1"/>
  <c r="AI105" i="23" s="1"/>
  <c r="AJ105" i="23" s="1"/>
  <c r="AK105" i="23" s="1"/>
  <c r="AL105" i="23" s="1"/>
  <c r="AM105" i="23" s="1"/>
  <c r="AN105" i="23" s="1"/>
  <c r="AO105" i="23" s="1"/>
  <c r="AP105" i="23" s="1"/>
  <c r="AQ105" i="23" s="1"/>
  <c r="AR105" i="23" s="1"/>
  <c r="AS105" i="23" s="1"/>
  <c r="AT105" i="23" s="1"/>
  <c r="AU105" i="23" s="1"/>
  <c r="AV105" i="23" s="1"/>
  <c r="AW105" i="23" s="1"/>
  <c r="AX105" i="23" s="1"/>
  <c r="AY105" i="23" s="1"/>
  <c r="AZ105" i="23" s="1"/>
  <c r="BA105" i="23" s="1"/>
  <c r="BB105" i="23" s="1"/>
  <c r="BC105" i="23" s="1"/>
  <c r="BD105" i="23" s="1"/>
  <c r="BE105" i="23" s="1"/>
  <c r="BF105" i="23" s="1"/>
  <c r="BG105" i="23" s="1"/>
  <c r="BH105" i="23" s="1"/>
  <c r="BI105" i="23" s="1"/>
  <c r="U100" i="23"/>
  <c r="V100" i="23" s="1"/>
  <c r="W100" i="23" s="1"/>
  <c r="X100" i="23" s="1"/>
  <c r="Y100" i="23" s="1"/>
  <c r="Z100" i="23" s="1"/>
  <c r="AA100" i="23" s="1"/>
  <c r="AB100" i="23" s="1"/>
  <c r="AC100" i="23" s="1"/>
  <c r="AD100" i="23" s="1"/>
  <c r="AE100" i="23" s="1"/>
  <c r="AF100" i="23" s="1"/>
  <c r="AG100" i="23" s="1"/>
  <c r="AH100" i="23" s="1"/>
  <c r="AI100" i="23" s="1"/>
  <c r="AJ100" i="23" s="1"/>
  <c r="AK100" i="23" s="1"/>
  <c r="AL100" i="23" s="1"/>
  <c r="AM100" i="23" s="1"/>
  <c r="AN100" i="23" s="1"/>
  <c r="AO100" i="23" s="1"/>
  <c r="AP100" i="23" s="1"/>
  <c r="AQ100" i="23" s="1"/>
  <c r="AR100" i="23" s="1"/>
  <c r="AS100" i="23" s="1"/>
  <c r="AT100" i="23" s="1"/>
  <c r="AU100" i="23" s="1"/>
  <c r="AV100" i="23" s="1"/>
  <c r="AW100" i="23" s="1"/>
  <c r="AX100" i="23" s="1"/>
  <c r="AY100" i="23" s="1"/>
  <c r="AZ100" i="23" s="1"/>
  <c r="BA100" i="23" s="1"/>
  <c r="BB100" i="23" s="1"/>
  <c r="BC100" i="23" s="1"/>
  <c r="BD100" i="23" s="1"/>
  <c r="BE100" i="23" s="1"/>
  <c r="BF100" i="23" s="1"/>
  <c r="BG100" i="23" s="1"/>
  <c r="BH100" i="23" s="1"/>
  <c r="BI100" i="23" s="1"/>
  <c r="U51" i="16"/>
  <c r="V51" i="16" s="1"/>
  <c r="W51" i="16" s="1"/>
  <c r="X51" i="16" s="1"/>
  <c r="Y51" i="16" s="1"/>
  <c r="Z51" i="16" s="1"/>
  <c r="AA51" i="16" s="1"/>
  <c r="AB51" i="16" s="1"/>
  <c r="AC51" i="16" s="1"/>
  <c r="AD51" i="16" s="1"/>
  <c r="AE51" i="16" s="1"/>
  <c r="AF51" i="16" s="1"/>
  <c r="AG51" i="16" s="1"/>
  <c r="AH51" i="16" s="1"/>
  <c r="AI51" i="16" s="1"/>
  <c r="AJ51" i="16" s="1"/>
  <c r="AK51" i="16" s="1"/>
  <c r="AL51" i="16" s="1"/>
  <c r="AM51" i="16" s="1"/>
  <c r="AN51" i="16" s="1"/>
  <c r="AO51" i="16" s="1"/>
  <c r="AP51" i="16" s="1"/>
  <c r="AQ51" i="16" s="1"/>
  <c r="AR51" i="16" s="1"/>
  <c r="AS51" i="16" s="1"/>
  <c r="AT51" i="16" s="1"/>
  <c r="AU51" i="16" s="1"/>
  <c r="AV51" i="16" s="1"/>
  <c r="AW51" i="16" s="1"/>
  <c r="AX51" i="16" s="1"/>
  <c r="AY51" i="16" s="1"/>
  <c r="AZ51" i="16" s="1"/>
  <c r="BA51" i="16" s="1"/>
  <c r="BB51" i="16" s="1"/>
  <c r="BC51" i="16" s="1"/>
  <c r="BD51" i="16" s="1"/>
  <c r="BE51" i="16" s="1"/>
  <c r="BF51" i="16" s="1"/>
  <c r="BG51" i="16" s="1"/>
  <c r="BH51" i="16" s="1"/>
  <c r="BI51" i="16" s="1"/>
  <c r="W86" i="26"/>
  <c r="X86" i="26" s="1"/>
  <c r="Y86" i="26" s="1"/>
  <c r="Z86" i="26" s="1"/>
  <c r="AA86" i="26" s="1"/>
  <c r="AB86" i="26" s="1"/>
  <c r="AC86" i="26" s="1"/>
  <c r="AD86" i="26" s="1"/>
  <c r="AE86" i="26" s="1"/>
  <c r="AF86" i="26" s="1"/>
  <c r="AG86" i="26" s="1"/>
  <c r="AH86" i="26" s="1"/>
  <c r="AI86" i="26" s="1"/>
  <c r="AJ86" i="26" s="1"/>
  <c r="AK86" i="26" s="1"/>
  <c r="AL86" i="26" s="1"/>
  <c r="AM86" i="26" s="1"/>
  <c r="AN86" i="26" s="1"/>
  <c r="AO86" i="26" s="1"/>
  <c r="AP86" i="26" s="1"/>
  <c r="AQ86" i="26" s="1"/>
  <c r="AR86" i="26" s="1"/>
  <c r="AS86" i="26" s="1"/>
  <c r="AT86" i="26" s="1"/>
  <c r="AU86" i="26" s="1"/>
  <c r="AV86" i="26" s="1"/>
  <c r="AW86" i="26" s="1"/>
  <c r="AX86" i="26" s="1"/>
  <c r="AY86" i="26" s="1"/>
  <c r="AZ86" i="26" s="1"/>
  <c r="BA86" i="26" s="1"/>
  <c r="BB86" i="26" s="1"/>
  <c r="BC86" i="26" s="1"/>
  <c r="BD86" i="26" s="1"/>
  <c r="BE86" i="26" s="1"/>
  <c r="BF86" i="26" s="1"/>
  <c r="BG86" i="26" s="1"/>
  <c r="BH86" i="26" s="1"/>
  <c r="BI86" i="26" s="1"/>
  <c r="W133" i="19"/>
  <c r="X133" i="19" s="1"/>
  <c r="Y133" i="19" s="1"/>
  <c r="Z133" i="19" s="1"/>
  <c r="AA133" i="19" s="1"/>
  <c r="AB133" i="19" s="1"/>
  <c r="AC133" i="19" s="1"/>
  <c r="AD133" i="19" s="1"/>
  <c r="AE133" i="19" s="1"/>
  <c r="AF133" i="19" s="1"/>
  <c r="AG133" i="19" s="1"/>
  <c r="AH133" i="19" s="1"/>
  <c r="AI133" i="19" s="1"/>
  <c r="AJ133" i="19" s="1"/>
  <c r="AK133" i="19" s="1"/>
  <c r="AL133" i="19" s="1"/>
  <c r="AM133" i="19" s="1"/>
  <c r="AN133" i="19" s="1"/>
  <c r="AO133" i="19" s="1"/>
  <c r="AP133" i="19" s="1"/>
  <c r="AQ133" i="19" s="1"/>
  <c r="AR133" i="19" s="1"/>
  <c r="AS133" i="19" s="1"/>
  <c r="AT133" i="19" s="1"/>
  <c r="AU133" i="19" s="1"/>
  <c r="AV133" i="19" s="1"/>
  <c r="AW133" i="19" s="1"/>
  <c r="AX133" i="19" s="1"/>
  <c r="AY133" i="19" s="1"/>
  <c r="AZ133" i="19" s="1"/>
  <c r="BA133" i="19" s="1"/>
  <c r="BB133" i="19" s="1"/>
  <c r="BC133" i="19" s="1"/>
  <c r="BD133" i="19" s="1"/>
  <c r="BE133" i="19" s="1"/>
  <c r="BF133" i="19" s="1"/>
  <c r="BG133" i="19" s="1"/>
  <c r="BH133" i="19" s="1"/>
  <c r="BI133" i="19" s="1"/>
  <c r="U120" i="13"/>
  <c r="V120" i="13" s="1"/>
  <c r="W120" i="13" s="1"/>
  <c r="X120" i="13" s="1"/>
  <c r="Y120" i="13" s="1"/>
  <c r="Z120" i="13" s="1"/>
  <c r="AA120" i="13" s="1"/>
  <c r="AB120" i="13" s="1"/>
  <c r="AC120" i="13" s="1"/>
  <c r="AD120" i="13" s="1"/>
  <c r="AE120" i="13" s="1"/>
  <c r="AF120" i="13" s="1"/>
  <c r="AG120" i="13" s="1"/>
  <c r="AH120" i="13" s="1"/>
  <c r="AI120" i="13" s="1"/>
  <c r="AJ120" i="13" s="1"/>
  <c r="AK120" i="13" s="1"/>
  <c r="AL120" i="13" s="1"/>
  <c r="AM120" i="13" s="1"/>
  <c r="AN120" i="13" s="1"/>
  <c r="AO120" i="13" s="1"/>
  <c r="AP120" i="13" s="1"/>
  <c r="AQ120" i="13" s="1"/>
  <c r="AR120" i="13" s="1"/>
  <c r="AS120" i="13" s="1"/>
  <c r="AT120" i="13" s="1"/>
  <c r="AU120" i="13" s="1"/>
  <c r="AV120" i="13" s="1"/>
  <c r="AW120" i="13" s="1"/>
  <c r="AX120" i="13" s="1"/>
  <c r="AY120" i="13" s="1"/>
  <c r="AZ120" i="13" s="1"/>
  <c r="BA120" i="13" s="1"/>
  <c r="BB120" i="13" s="1"/>
  <c r="BC120" i="13" s="1"/>
  <c r="BD120" i="13" s="1"/>
  <c r="BE120" i="13" s="1"/>
  <c r="BF120" i="13" s="1"/>
  <c r="BG120" i="13" s="1"/>
  <c r="BH120" i="13" s="1"/>
  <c r="BI120" i="13" s="1"/>
  <c r="U114" i="13"/>
  <c r="V114" i="13" s="1"/>
  <c r="W114" i="13" s="1"/>
  <c r="X114" i="13" s="1"/>
  <c r="Y114" i="13" s="1"/>
  <c r="Z114" i="13" s="1"/>
  <c r="AA114" i="13" s="1"/>
  <c r="AB114" i="13" s="1"/>
  <c r="AC114" i="13" s="1"/>
  <c r="AD114" i="13" s="1"/>
  <c r="AE114" i="13" s="1"/>
  <c r="AF114" i="13" s="1"/>
  <c r="AG114" i="13" s="1"/>
  <c r="AH114" i="13" s="1"/>
  <c r="AI114" i="13" s="1"/>
  <c r="AJ114" i="13" s="1"/>
  <c r="AK114" i="13" s="1"/>
  <c r="AL114" i="13" s="1"/>
  <c r="AM114" i="13" s="1"/>
  <c r="AN114" i="13" s="1"/>
  <c r="AO114" i="13" s="1"/>
  <c r="AP114" i="13" s="1"/>
  <c r="AQ114" i="13" s="1"/>
  <c r="AR114" i="13" s="1"/>
  <c r="AS114" i="13" s="1"/>
  <c r="AT114" i="13" s="1"/>
  <c r="AU114" i="13" s="1"/>
  <c r="AV114" i="13" s="1"/>
  <c r="AW114" i="13" s="1"/>
  <c r="AX114" i="13" s="1"/>
  <c r="AY114" i="13" s="1"/>
  <c r="AZ114" i="13" s="1"/>
  <c r="BA114" i="13" s="1"/>
  <c r="BB114" i="13" s="1"/>
  <c r="BC114" i="13" s="1"/>
  <c r="BD114" i="13" s="1"/>
  <c r="BE114" i="13" s="1"/>
  <c r="BF114" i="13" s="1"/>
  <c r="BG114" i="13" s="1"/>
  <c r="BH114" i="13" s="1"/>
  <c r="BI114" i="13" s="1"/>
  <c r="U108" i="13"/>
  <c r="V108" i="13" s="1"/>
  <c r="W108" i="13" s="1"/>
  <c r="X108" i="13" s="1"/>
  <c r="Y108" i="13" s="1"/>
  <c r="Z108" i="13" s="1"/>
  <c r="AA108" i="13" s="1"/>
  <c r="AB108" i="13" s="1"/>
  <c r="AC108" i="13" s="1"/>
  <c r="AD108" i="13" s="1"/>
  <c r="AE108" i="13" s="1"/>
  <c r="AF108" i="13" s="1"/>
  <c r="AG108" i="13" s="1"/>
  <c r="AH108" i="13" s="1"/>
  <c r="AI108" i="13" s="1"/>
  <c r="AJ108" i="13" s="1"/>
  <c r="AK108" i="13" s="1"/>
  <c r="AL108" i="13" s="1"/>
  <c r="AM108" i="13" s="1"/>
  <c r="AN108" i="13" s="1"/>
  <c r="AO108" i="13" s="1"/>
  <c r="AP108" i="13" s="1"/>
  <c r="AQ108" i="13" s="1"/>
  <c r="AR108" i="13" s="1"/>
  <c r="AS108" i="13" s="1"/>
  <c r="AT108" i="13" s="1"/>
  <c r="AU108" i="13" s="1"/>
  <c r="AV108" i="13" s="1"/>
  <c r="AW108" i="13" s="1"/>
  <c r="AX108" i="13" s="1"/>
  <c r="AY108" i="13" s="1"/>
  <c r="AZ108" i="13" s="1"/>
  <c r="BA108" i="13" s="1"/>
  <c r="BB108" i="13" s="1"/>
  <c r="BC108" i="13" s="1"/>
  <c r="BD108" i="13" s="1"/>
  <c r="BE108" i="13" s="1"/>
  <c r="BF108" i="13" s="1"/>
  <c r="BG108" i="13" s="1"/>
  <c r="BH108" i="13" s="1"/>
  <c r="BI108" i="13" s="1"/>
  <c r="U102" i="13"/>
  <c r="V102" i="13" s="1"/>
  <c r="W102" i="13" s="1"/>
  <c r="X102" i="13" s="1"/>
  <c r="Y102" i="13" s="1"/>
  <c r="Z102" i="13" s="1"/>
  <c r="AA102" i="13" s="1"/>
  <c r="AB102" i="13" s="1"/>
  <c r="AC102" i="13" s="1"/>
  <c r="AD102" i="13" s="1"/>
  <c r="AE102" i="13" s="1"/>
  <c r="AF102" i="13" s="1"/>
  <c r="AG102" i="13" s="1"/>
  <c r="AH102" i="13" s="1"/>
  <c r="AI102" i="13" s="1"/>
  <c r="AJ102" i="13" s="1"/>
  <c r="AK102" i="13" s="1"/>
  <c r="AL102" i="13" s="1"/>
  <c r="AM102" i="13" s="1"/>
  <c r="AN102" i="13" s="1"/>
  <c r="AO102" i="13" s="1"/>
  <c r="AP102" i="13" s="1"/>
  <c r="AQ102" i="13" s="1"/>
  <c r="AR102" i="13" s="1"/>
  <c r="AS102" i="13" s="1"/>
  <c r="AT102" i="13" s="1"/>
  <c r="AU102" i="13" s="1"/>
  <c r="AV102" i="13" s="1"/>
  <c r="AW102" i="13" s="1"/>
  <c r="AX102" i="13" s="1"/>
  <c r="AY102" i="13" s="1"/>
  <c r="AZ102" i="13" s="1"/>
  <c r="BA102" i="13" s="1"/>
  <c r="BB102" i="13" s="1"/>
  <c r="BC102" i="13" s="1"/>
  <c r="BD102" i="13" s="1"/>
  <c r="BE102" i="13" s="1"/>
  <c r="BF102" i="13" s="1"/>
  <c r="BG102" i="13" s="1"/>
  <c r="BH102" i="13" s="1"/>
  <c r="BI102" i="13" s="1"/>
  <c r="U5" i="13"/>
  <c r="V5" i="13" s="1"/>
  <c r="W5" i="13" s="1"/>
  <c r="X5" i="13" s="1"/>
  <c r="Y5" i="13" s="1"/>
  <c r="Z5" i="13" s="1"/>
  <c r="AA5" i="13" s="1"/>
  <c r="AB5" i="13" s="1"/>
  <c r="AC5" i="13" s="1"/>
  <c r="AD5" i="13" s="1"/>
  <c r="AE5" i="13" s="1"/>
  <c r="AF5" i="13" s="1"/>
  <c r="AG5" i="13" s="1"/>
  <c r="AH5" i="13" s="1"/>
  <c r="AI5" i="13" s="1"/>
  <c r="AJ5" i="13" s="1"/>
  <c r="AK5" i="13" s="1"/>
  <c r="AL5" i="13" s="1"/>
  <c r="AM5" i="13" s="1"/>
  <c r="AN5" i="13" s="1"/>
  <c r="AO5" i="13" s="1"/>
  <c r="AP5" i="13" s="1"/>
  <c r="AQ5" i="13" s="1"/>
  <c r="AR5" i="13" s="1"/>
  <c r="AS5" i="13" s="1"/>
  <c r="AT5" i="13" s="1"/>
  <c r="AU5" i="13" s="1"/>
  <c r="AV5" i="13" s="1"/>
  <c r="AW5" i="13" s="1"/>
  <c r="AX5" i="13" s="1"/>
  <c r="AY5" i="13" s="1"/>
  <c r="AZ5" i="13" s="1"/>
  <c r="BA5" i="13" s="1"/>
  <c r="BB5" i="13" s="1"/>
  <c r="BC5" i="13" s="1"/>
  <c r="BD5" i="13" s="1"/>
  <c r="BE5" i="13" s="1"/>
  <c r="BF5" i="13" s="1"/>
  <c r="BG5" i="13" s="1"/>
  <c r="BH5" i="13" s="1"/>
  <c r="BI5" i="13" s="1"/>
  <c r="U97" i="17"/>
  <c r="V97" i="17" s="1"/>
  <c r="W97" i="17" s="1"/>
  <c r="X97" i="17" s="1"/>
  <c r="Y97" i="17" s="1"/>
  <c r="Z97" i="17" s="1"/>
  <c r="AA97" i="17" s="1"/>
  <c r="AB97" i="17" s="1"/>
  <c r="AC97" i="17" s="1"/>
  <c r="AD97" i="17" s="1"/>
  <c r="AE97" i="17" s="1"/>
  <c r="AF97" i="17" s="1"/>
  <c r="AG97" i="17" s="1"/>
  <c r="AH97" i="17" s="1"/>
  <c r="AI97" i="17" s="1"/>
  <c r="AJ97" i="17" s="1"/>
  <c r="AK97" i="17" s="1"/>
  <c r="AL97" i="17" s="1"/>
  <c r="AM97" i="17" s="1"/>
  <c r="AN97" i="17" s="1"/>
  <c r="AO97" i="17" s="1"/>
  <c r="AP97" i="17" s="1"/>
  <c r="AQ97" i="17" s="1"/>
  <c r="AR97" i="17" s="1"/>
  <c r="AS97" i="17" s="1"/>
  <c r="AT97" i="17" s="1"/>
  <c r="AU97" i="17" s="1"/>
  <c r="AV97" i="17" s="1"/>
  <c r="AW97" i="17" s="1"/>
  <c r="AX97" i="17" s="1"/>
  <c r="AY97" i="17" s="1"/>
  <c r="AZ97" i="17" s="1"/>
  <c r="BA97" i="17" s="1"/>
  <c r="BB97" i="17" s="1"/>
  <c r="BC97" i="17" s="1"/>
  <c r="BD97" i="17" s="1"/>
  <c r="BE97" i="17" s="1"/>
  <c r="BF97" i="17" s="1"/>
  <c r="BG97" i="17" s="1"/>
  <c r="BH97" i="17" s="1"/>
  <c r="BI97" i="17" s="1"/>
  <c r="U235" i="17"/>
  <c r="V235" i="17" s="1"/>
  <c r="W235" i="17" s="1"/>
  <c r="X235" i="17" s="1"/>
  <c r="Y235" i="17" s="1"/>
  <c r="Z235" i="17" s="1"/>
  <c r="AA235" i="17" s="1"/>
  <c r="AB235" i="17" s="1"/>
  <c r="AC235" i="17" s="1"/>
  <c r="AD235" i="17" s="1"/>
  <c r="AE235" i="17" s="1"/>
  <c r="AF235" i="17" s="1"/>
  <c r="AG235" i="17" s="1"/>
  <c r="AH235" i="17" s="1"/>
  <c r="AI235" i="17" s="1"/>
  <c r="AJ235" i="17" s="1"/>
  <c r="AK235" i="17" s="1"/>
  <c r="AL235" i="17" s="1"/>
  <c r="AM235" i="17" s="1"/>
  <c r="AN235" i="17" s="1"/>
  <c r="AO235" i="17" s="1"/>
  <c r="AP235" i="17" s="1"/>
  <c r="AQ235" i="17" s="1"/>
  <c r="AR235" i="17" s="1"/>
  <c r="AS235" i="17" s="1"/>
  <c r="AT235" i="17" s="1"/>
  <c r="AU235" i="17" s="1"/>
  <c r="AV235" i="17" s="1"/>
  <c r="AW235" i="17" s="1"/>
  <c r="AX235" i="17" s="1"/>
  <c r="AY235" i="17" s="1"/>
  <c r="AZ235" i="17" s="1"/>
  <c r="BA235" i="17" s="1"/>
  <c r="BB235" i="17" s="1"/>
  <c r="BC235" i="17" s="1"/>
  <c r="BD235" i="17" s="1"/>
  <c r="BE235" i="17" s="1"/>
  <c r="BF235" i="17" s="1"/>
  <c r="BG235" i="17" s="1"/>
  <c r="BH235" i="17" s="1"/>
  <c r="BI235" i="17" s="1"/>
  <c r="U114" i="17"/>
  <c r="V114" i="17" s="1"/>
  <c r="W114" i="17" s="1"/>
  <c r="X114" i="17" s="1"/>
  <c r="Y114" i="17" s="1"/>
  <c r="Z114" i="17" s="1"/>
  <c r="AA114" i="17" s="1"/>
  <c r="AB114" i="17" s="1"/>
  <c r="AC114" i="17" s="1"/>
  <c r="AD114" i="17" s="1"/>
  <c r="AE114" i="17" s="1"/>
  <c r="AF114" i="17" s="1"/>
  <c r="AG114" i="17" s="1"/>
  <c r="AH114" i="17" s="1"/>
  <c r="AI114" i="17" s="1"/>
  <c r="AJ114" i="17" s="1"/>
  <c r="AK114" i="17" s="1"/>
  <c r="AL114" i="17" s="1"/>
  <c r="AM114" i="17" s="1"/>
  <c r="AN114" i="17" s="1"/>
  <c r="AO114" i="17" s="1"/>
  <c r="AP114" i="17" s="1"/>
  <c r="AQ114" i="17" s="1"/>
  <c r="AR114" i="17" s="1"/>
  <c r="AS114" i="17" s="1"/>
  <c r="AT114" i="17" s="1"/>
  <c r="AU114" i="17" s="1"/>
  <c r="AV114" i="17" s="1"/>
  <c r="AW114" i="17" s="1"/>
  <c r="AX114" i="17" s="1"/>
  <c r="AY114" i="17" s="1"/>
  <c r="AZ114" i="17" s="1"/>
  <c r="BA114" i="17" s="1"/>
  <c r="BB114" i="17" s="1"/>
  <c r="BC114" i="17" s="1"/>
  <c r="BD114" i="17" s="1"/>
  <c r="BE114" i="17" s="1"/>
  <c r="BF114" i="17" s="1"/>
  <c r="BG114" i="17" s="1"/>
  <c r="BH114" i="17" s="1"/>
  <c r="BI114" i="17" s="1"/>
  <c r="U284" i="14"/>
  <c r="V284" i="14" s="1"/>
  <c r="W284" i="14" s="1"/>
  <c r="X284" i="14" s="1"/>
  <c r="Y284" i="14" s="1"/>
  <c r="Z284" i="14" s="1"/>
  <c r="AA284" i="14" s="1"/>
  <c r="AB284" i="14" s="1"/>
  <c r="AC284" i="14" s="1"/>
  <c r="AD284" i="14" s="1"/>
  <c r="AE284" i="14" s="1"/>
  <c r="AF284" i="14" s="1"/>
  <c r="AG284" i="14" s="1"/>
  <c r="AH284" i="14" s="1"/>
  <c r="AI284" i="14" s="1"/>
  <c r="AJ284" i="14" s="1"/>
  <c r="AK284" i="14" s="1"/>
  <c r="AL284" i="14" s="1"/>
  <c r="AM284" i="14" s="1"/>
  <c r="AN284" i="14" s="1"/>
  <c r="AO284" i="14" s="1"/>
  <c r="AP284" i="14" s="1"/>
  <c r="AQ284" i="14" s="1"/>
  <c r="AR284" i="14" s="1"/>
  <c r="AS284" i="14" s="1"/>
  <c r="AT284" i="14" s="1"/>
  <c r="AU284" i="14" s="1"/>
  <c r="AV284" i="14" s="1"/>
  <c r="AW284" i="14" s="1"/>
  <c r="AX284" i="14" s="1"/>
  <c r="AY284" i="14" s="1"/>
  <c r="AZ284" i="14" s="1"/>
  <c r="BA284" i="14" s="1"/>
  <c r="BB284" i="14" s="1"/>
  <c r="BC284" i="14" s="1"/>
  <c r="BD284" i="14" s="1"/>
  <c r="BE284" i="14" s="1"/>
  <c r="BF284" i="14" s="1"/>
  <c r="BG284" i="14" s="1"/>
  <c r="BH284" i="14" s="1"/>
  <c r="BI284" i="14" s="1"/>
  <c r="U226" i="14"/>
  <c r="V226" i="14" s="1"/>
  <c r="W226" i="14" s="1"/>
  <c r="X226" i="14" s="1"/>
  <c r="Y226" i="14" s="1"/>
  <c r="Z226" i="14" s="1"/>
  <c r="AA226" i="14" s="1"/>
  <c r="AB226" i="14" s="1"/>
  <c r="AC226" i="14" s="1"/>
  <c r="AD226" i="14" s="1"/>
  <c r="AE226" i="14" s="1"/>
  <c r="AF226" i="14" s="1"/>
  <c r="AG226" i="14" s="1"/>
  <c r="AH226" i="14" s="1"/>
  <c r="AI226" i="14" s="1"/>
  <c r="AJ226" i="14" s="1"/>
  <c r="AK226" i="14" s="1"/>
  <c r="AL226" i="14" s="1"/>
  <c r="AM226" i="14" s="1"/>
  <c r="AN226" i="14" s="1"/>
  <c r="AO226" i="14" s="1"/>
  <c r="AP226" i="14" s="1"/>
  <c r="AQ226" i="14" s="1"/>
  <c r="AR226" i="14" s="1"/>
  <c r="AS226" i="14" s="1"/>
  <c r="AT226" i="14" s="1"/>
  <c r="AU226" i="14" s="1"/>
  <c r="AV226" i="14" s="1"/>
  <c r="AW226" i="14" s="1"/>
  <c r="AX226" i="14" s="1"/>
  <c r="AY226" i="14" s="1"/>
  <c r="AZ226" i="14" s="1"/>
  <c r="BA226" i="14" s="1"/>
  <c r="BB226" i="14" s="1"/>
  <c r="BC226" i="14" s="1"/>
  <c r="BD226" i="14" s="1"/>
  <c r="BE226" i="14" s="1"/>
  <c r="BF226" i="14" s="1"/>
  <c r="BG226" i="14" s="1"/>
  <c r="BH226" i="14" s="1"/>
  <c r="BI226" i="14" s="1"/>
  <c r="Y45" i="32" l="1"/>
  <c r="X59" i="32"/>
  <c r="X52" i="32"/>
  <c r="Y47" i="32"/>
  <c r="X61" i="32"/>
  <c r="X54" i="32"/>
  <c r="Y44" i="32"/>
  <c r="X58" i="32"/>
  <c r="X51" i="32"/>
  <c r="Y48" i="32"/>
  <c r="X55" i="32"/>
  <c r="X62" i="32"/>
  <c r="Y49" i="32"/>
  <c r="X63" i="32"/>
  <c r="X56" i="32"/>
  <c r="Y46" i="32"/>
  <c r="X60" i="32"/>
  <c r="X53" i="32"/>
  <c r="B98" i="24"/>
  <c r="Z46" i="32" l="1"/>
  <c r="Y60" i="32"/>
  <c r="Y53" i="32"/>
  <c r="Z47" i="32"/>
  <c r="Y61" i="32"/>
  <c r="Y54" i="32"/>
  <c r="Z44" i="32"/>
  <c r="Y58" i="32"/>
  <c r="Y51" i="32"/>
  <c r="Z48" i="32"/>
  <c r="Y62" i="32"/>
  <c r="Y55" i="32"/>
  <c r="Z49" i="32"/>
  <c r="Y63" i="32"/>
  <c r="Y56" i="32"/>
  <c r="Z45" i="32"/>
  <c r="Y59" i="32"/>
  <c r="Y52" i="32"/>
  <c r="AA47" i="32" l="1"/>
  <c r="Z61" i="32"/>
  <c r="Z54" i="32"/>
  <c r="AA44" i="32"/>
  <c r="Z58" i="32"/>
  <c r="Z51" i="32"/>
  <c r="AA45" i="32"/>
  <c r="Z59" i="32"/>
  <c r="Z52" i="32"/>
  <c r="AA48" i="32"/>
  <c r="Z62" i="32"/>
  <c r="Z55" i="32"/>
  <c r="AA49" i="32"/>
  <c r="Z63" i="32"/>
  <c r="Z56" i="32"/>
  <c r="AA46" i="32"/>
  <c r="Z60" i="32"/>
  <c r="Z53" i="32"/>
  <c r="T275" i="14"/>
  <c r="AA187" i="14"/>
  <c r="W258" i="14" s="1"/>
  <c r="AB46" i="32" l="1"/>
  <c r="AA60" i="32"/>
  <c r="AA53" i="32"/>
  <c r="AB44" i="32"/>
  <c r="AA58" i="32"/>
  <c r="AA51" i="32"/>
  <c r="AB45" i="32"/>
  <c r="AA59" i="32"/>
  <c r="AA52" i="32"/>
  <c r="AB48" i="32"/>
  <c r="AA62" i="32"/>
  <c r="AA55" i="32"/>
  <c r="AB49" i="32"/>
  <c r="AA63" i="32"/>
  <c r="AA56" i="32"/>
  <c r="AB47" i="32"/>
  <c r="AA61" i="32"/>
  <c r="AA54" i="32"/>
  <c r="A146" i="14"/>
  <c r="A145" i="14"/>
  <c r="P128" i="14"/>
  <c r="A128" i="14"/>
  <c r="P127" i="14"/>
  <c r="A127" i="14"/>
  <c r="P122" i="14"/>
  <c r="T146" i="14" s="1"/>
  <c r="P121" i="14"/>
  <c r="A165" i="14"/>
  <c r="S207" i="14"/>
  <c r="S258" i="14" s="1"/>
  <c r="U206" i="14"/>
  <c r="T206" i="14"/>
  <c r="U205" i="14"/>
  <c r="T205" i="14"/>
  <c r="S203" i="14"/>
  <c r="A198" i="14"/>
  <c r="AA186" i="14"/>
  <c r="AA185" i="14"/>
  <c r="AA184" i="14"/>
  <c r="AA183" i="14"/>
  <c r="AA182" i="14"/>
  <c r="AA181" i="14"/>
  <c r="AA180" i="14"/>
  <c r="AA179" i="14"/>
  <c r="AA178" i="14"/>
  <c r="AA177" i="14"/>
  <c r="AA176" i="14"/>
  <c r="AA175" i="14"/>
  <c r="AA174" i="14"/>
  <c r="AA173" i="14"/>
  <c r="AA169" i="14"/>
  <c r="AC47" i="32" l="1"/>
  <c r="AB61" i="32"/>
  <c r="AB54" i="32"/>
  <c r="AC45" i="32"/>
  <c r="AB59" i="32"/>
  <c r="AB52" i="32"/>
  <c r="AC48" i="32"/>
  <c r="AB55" i="32"/>
  <c r="AB62" i="32"/>
  <c r="AC44" i="32"/>
  <c r="AB58" i="32"/>
  <c r="AB51" i="32"/>
  <c r="AC49" i="32"/>
  <c r="AB63" i="32"/>
  <c r="AB56" i="32"/>
  <c r="AC46" i="32"/>
  <c r="AB53" i="32"/>
  <c r="AB60" i="32"/>
  <c r="T145" i="14"/>
  <c r="C39" i="28"/>
  <c r="D39" i="28" s="1"/>
  <c r="E39" i="28" s="1"/>
  <c r="F39" i="28" s="1"/>
  <c r="G39" i="28" s="1"/>
  <c r="H39" i="28" s="1"/>
  <c r="I39" i="28" s="1"/>
  <c r="AD46" i="32" l="1"/>
  <c r="AC60" i="32"/>
  <c r="AC53" i="32"/>
  <c r="AD45" i="32"/>
  <c r="AC59" i="32"/>
  <c r="AC52" i="32"/>
  <c r="AD48" i="32"/>
  <c r="AC62" i="32"/>
  <c r="AC55" i="32"/>
  <c r="AD44" i="32"/>
  <c r="AC58" i="32"/>
  <c r="AC51" i="32"/>
  <c r="AD49" i="32"/>
  <c r="AC63" i="32"/>
  <c r="AC56" i="32"/>
  <c r="AD47" i="32"/>
  <c r="AC61" i="32"/>
  <c r="AC54" i="32"/>
  <c r="B37" i="28"/>
  <c r="Q58" i="26"/>
  <c r="Q96" i="19"/>
  <c r="A37" i="28"/>
  <c r="A58" i="26"/>
  <c r="A96" i="19"/>
  <c r="R57" i="26"/>
  <c r="S57" i="26" s="1"/>
  <c r="T57" i="26" s="1"/>
  <c r="U57" i="26" s="1"/>
  <c r="V57" i="26" s="1"/>
  <c r="W57" i="26" s="1"/>
  <c r="X57" i="26" s="1"/>
  <c r="Y57" i="26" s="1"/>
  <c r="Z57" i="26" s="1"/>
  <c r="AA57" i="26" s="1"/>
  <c r="AB57" i="26" s="1"/>
  <c r="AC57" i="26" s="1"/>
  <c r="AD57" i="26" s="1"/>
  <c r="AE57" i="26" s="1"/>
  <c r="AF57" i="26" s="1"/>
  <c r="AG57" i="26" s="1"/>
  <c r="AH57" i="26" s="1"/>
  <c r="AI57" i="26" s="1"/>
  <c r="AJ57" i="26" s="1"/>
  <c r="AK57" i="26" s="1"/>
  <c r="AL57" i="26" s="1"/>
  <c r="AM57" i="26" s="1"/>
  <c r="AN57" i="26" s="1"/>
  <c r="AO57" i="26" s="1"/>
  <c r="AP57" i="26" s="1"/>
  <c r="AQ57" i="26" s="1"/>
  <c r="AR57" i="26" s="1"/>
  <c r="AS57" i="26" s="1"/>
  <c r="AT57" i="26" s="1"/>
  <c r="AU57" i="26" s="1"/>
  <c r="AV57" i="26" s="1"/>
  <c r="AW57" i="26" s="1"/>
  <c r="AX57" i="26" s="1"/>
  <c r="AY57" i="26" s="1"/>
  <c r="AZ57" i="26" s="1"/>
  <c r="BA57" i="26" s="1"/>
  <c r="BB57" i="26" s="1"/>
  <c r="BC57" i="26" s="1"/>
  <c r="BD57" i="26" s="1"/>
  <c r="BE57" i="26" s="1"/>
  <c r="BF57" i="26" s="1"/>
  <c r="BG57" i="26" s="1"/>
  <c r="BH57" i="26" s="1"/>
  <c r="BI57" i="26" s="1"/>
  <c r="C36" i="28"/>
  <c r="D36" i="28" s="1"/>
  <c r="E36" i="28" s="1"/>
  <c r="F36" i="28" s="1"/>
  <c r="G36" i="28" s="1"/>
  <c r="H36" i="28" s="1"/>
  <c r="I36" i="28" s="1"/>
  <c r="A30" i="28"/>
  <c r="B29" i="28"/>
  <c r="A26" i="28"/>
  <c r="B25" i="28"/>
  <c r="B22" i="28"/>
  <c r="Q14" i="28"/>
  <c r="Q13" i="28"/>
  <c r="Q12" i="28"/>
  <c r="Q11" i="28"/>
  <c r="Q10" i="28"/>
  <c r="Q9" i="28"/>
  <c r="A2" i="28"/>
  <c r="AE47" i="32" l="1"/>
  <c r="AD61" i="32"/>
  <c r="AD54" i="32"/>
  <c r="AE48" i="32"/>
  <c r="AD62" i="32"/>
  <c r="AD55" i="32"/>
  <c r="AE44" i="32"/>
  <c r="AD58" i="32"/>
  <c r="AD51" i="32"/>
  <c r="AE45" i="32"/>
  <c r="AD59" i="32"/>
  <c r="AD52" i="32"/>
  <c r="AE49" i="32"/>
  <c r="AD56" i="32"/>
  <c r="AD63" i="32"/>
  <c r="AE46" i="32"/>
  <c r="AD60" i="32"/>
  <c r="AD53" i="32"/>
  <c r="A30" i="13"/>
  <c r="A29" i="13"/>
  <c r="A28" i="13"/>
  <c r="A106" i="24"/>
  <c r="Q105" i="24"/>
  <c r="A78" i="23"/>
  <c r="Q77" i="23"/>
  <c r="A43" i="16"/>
  <c r="Q42" i="16"/>
  <c r="AF46" i="32" l="1"/>
  <c r="AE60" i="32"/>
  <c r="AE53" i="32"/>
  <c r="AF48" i="32"/>
  <c r="AE62" i="32"/>
  <c r="AE55" i="32"/>
  <c r="AF44" i="32"/>
  <c r="AE58" i="32"/>
  <c r="AE51" i="32"/>
  <c r="AF45" i="32"/>
  <c r="AE59" i="32"/>
  <c r="AE52" i="32"/>
  <c r="AF49" i="32"/>
  <c r="AE63" i="32"/>
  <c r="AE56" i="32"/>
  <c r="AF47" i="32"/>
  <c r="AE61" i="32"/>
  <c r="AE54" i="32"/>
  <c r="A51" i="26"/>
  <c r="Q50" i="26"/>
  <c r="A89" i="19"/>
  <c r="Q88" i="19"/>
  <c r="A224" i="24" a="1"/>
  <c r="A224" i="24" s="1"/>
  <c r="AG48" i="32" l="1"/>
  <c r="AF62" i="32"/>
  <c r="AF55" i="32"/>
  <c r="AG44" i="32"/>
  <c r="AF51" i="32"/>
  <c r="AF58" i="32"/>
  <c r="AG47" i="32"/>
  <c r="AF61" i="32"/>
  <c r="AF54" i="32"/>
  <c r="AG45" i="32"/>
  <c r="AF59" i="32"/>
  <c r="AF52" i="32"/>
  <c r="AG49" i="32"/>
  <c r="AF63" i="32"/>
  <c r="AF56" i="32"/>
  <c r="AG46" i="32"/>
  <c r="AF60" i="32"/>
  <c r="AF53" i="32"/>
  <c r="A227" i="24"/>
  <c r="A226" i="24"/>
  <c r="A225" i="24"/>
  <c r="A228" i="24"/>
  <c r="AH46" i="32" l="1"/>
  <c r="AG60" i="32"/>
  <c r="AG53" i="32"/>
  <c r="AH44" i="32"/>
  <c r="AG58" i="32"/>
  <c r="AG51" i="32"/>
  <c r="AH47" i="32"/>
  <c r="AG61" i="32"/>
  <c r="AG54" i="32"/>
  <c r="AH45" i="32"/>
  <c r="AG59" i="32"/>
  <c r="AG52" i="32"/>
  <c r="AH49" i="32"/>
  <c r="AG63" i="32"/>
  <c r="AG56" i="32"/>
  <c r="AH48" i="32"/>
  <c r="AG62" i="32"/>
  <c r="AG55" i="32"/>
  <c r="W48" i="24"/>
  <c r="V48" i="24"/>
  <c r="U48" i="24"/>
  <c r="W47" i="24"/>
  <c r="V47" i="24"/>
  <c r="U47" i="24"/>
  <c r="W46" i="24"/>
  <c r="V46" i="24"/>
  <c r="U46" i="24"/>
  <c r="W45" i="24"/>
  <c r="V45" i="24"/>
  <c r="U45" i="24"/>
  <c r="AI48" i="32" l="1"/>
  <c r="AH62" i="32"/>
  <c r="AH55" i="32"/>
  <c r="AI47" i="32"/>
  <c r="AH54" i="32"/>
  <c r="AH61" i="32"/>
  <c r="AI45" i="32"/>
  <c r="AH59" i="32"/>
  <c r="AH52" i="32"/>
  <c r="AI44" i="32"/>
  <c r="AH58" i="32"/>
  <c r="AH51" i="32"/>
  <c r="AI49" i="32"/>
  <c r="AH56" i="32"/>
  <c r="AH63" i="32"/>
  <c r="AI46" i="32"/>
  <c r="AH60" i="32"/>
  <c r="AH53" i="32"/>
  <c r="Y48" i="24"/>
  <c r="X45" i="24"/>
  <c r="Y47" i="24"/>
  <c r="X47" i="24"/>
  <c r="Y46" i="24"/>
  <c r="X48" i="24"/>
  <c r="Y45" i="24"/>
  <c r="X46" i="24"/>
  <c r="AJ47" i="32" l="1"/>
  <c r="AI61" i="32"/>
  <c r="AI54" i="32"/>
  <c r="AJ45" i="32"/>
  <c r="AI59" i="32"/>
  <c r="AI52" i="32"/>
  <c r="AJ46" i="32"/>
  <c r="AI60" i="32"/>
  <c r="AI53" i="32"/>
  <c r="AJ44" i="32"/>
  <c r="AI58" i="32"/>
  <c r="AI51" i="32"/>
  <c r="AJ49" i="32"/>
  <c r="AI63" i="32"/>
  <c r="AI56" i="32"/>
  <c r="AJ48" i="32"/>
  <c r="AI62" i="32"/>
  <c r="AI55" i="32"/>
  <c r="R40" i="26"/>
  <c r="S17" i="26" s="1"/>
  <c r="R39" i="26"/>
  <c r="S16" i="26" s="1"/>
  <c r="T16" i="26" s="1"/>
  <c r="R38" i="26"/>
  <c r="S10" i="26" s="1"/>
  <c r="R37" i="26"/>
  <c r="S9" i="26" s="1"/>
  <c r="R36" i="26"/>
  <c r="S8" i="26" s="1"/>
  <c r="R31" i="23"/>
  <c r="R30" i="23"/>
  <c r="R29" i="23"/>
  <c r="R28" i="23"/>
  <c r="R27" i="23"/>
  <c r="R25" i="23"/>
  <c r="R24" i="23"/>
  <c r="R23" i="23"/>
  <c r="R22" i="23"/>
  <c r="R20" i="23"/>
  <c r="R19" i="23"/>
  <c r="R18" i="23"/>
  <c r="R17" i="23"/>
  <c r="R15" i="23"/>
  <c r="R14" i="23"/>
  <c r="R13" i="23"/>
  <c r="R61" i="19"/>
  <c r="S36" i="19" s="1"/>
  <c r="R62" i="19"/>
  <c r="S37" i="19" s="1"/>
  <c r="R63" i="19"/>
  <c r="S38" i="19" s="1"/>
  <c r="R64" i="19"/>
  <c r="S40" i="19" s="1"/>
  <c r="R65" i="19"/>
  <c r="S41" i="19" s="1"/>
  <c r="R66" i="19"/>
  <c r="S45" i="19" s="1"/>
  <c r="R68" i="19"/>
  <c r="R69" i="19"/>
  <c r="S48" i="19" s="1"/>
  <c r="R70" i="19"/>
  <c r="S51" i="19" s="1"/>
  <c r="AK45" i="32" l="1"/>
  <c r="AJ59" i="32"/>
  <c r="AJ52" i="32"/>
  <c r="AK46" i="32"/>
  <c r="AJ60" i="32"/>
  <c r="AJ53" i="32"/>
  <c r="AK48" i="32"/>
  <c r="AJ62" i="32"/>
  <c r="AJ55" i="32"/>
  <c r="AK44" i="32"/>
  <c r="AJ58" i="32"/>
  <c r="AJ51" i="32"/>
  <c r="AK49" i="32"/>
  <c r="AJ63" i="32"/>
  <c r="AJ56" i="32"/>
  <c r="AK47" i="32"/>
  <c r="AJ61" i="32"/>
  <c r="AJ54" i="32"/>
  <c r="U8" i="26"/>
  <c r="T8" i="26"/>
  <c r="V8" i="26"/>
  <c r="U17" i="26"/>
  <c r="V17" i="26"/>
  <c r="T17" i="26"/>
  <c r="V10" i="26"/>
  <c r="U10" i="26"/>
  <c r="T10" i="26"/>
  <c r="V9" i="26"/>
  <c r="U9" i="26"/>
  <c r="T9" i="26"/>
  <c r="V16" i="26"/>
  <c r="U16" i="26"/>
  <c r="S47" i="19"/>
  <c r="AL47" i="32" l="1"/>
  <c r="AK61" i="32"/>
  <c r="AK54" i="32"/>
  <c r="AL46" i="32"/>
  <c r="AK60" i="32"/>
  <c r="AK53" i="32"/>
  <c r="AL48" i="32"/>
  <c r="AK62" i="32"/>
  <c r="AK55" i="32"/>
  <c r="AL44" i="32"/>
  <c r="AK58" i="32"/>
  <c r="AK51" i="32"/>
  <c r="AL49" i="32"/>
  <c r="AK63" i="32"/>
  <c r="AK56" i="32"/>
  <c r="AL45" i="32"/>
  <c r="AK59" i="32"/>
  <c r="AK52" i="32"/>
  <c r="A82" i="26"/>
  <c r="A81" i="26"/>
  <c r="A80" i="26"/>
  <c r="A79" i="26"/>
  <c r="A78" i="26"/>
  <c r="A77" i="26"/>
  <c r="A76" i="26"/>
  <c r="A75" i="26"/>
  <c r="A74" i="26"/>
  <c r="A73" i="26"/>
  <c r="A72" i="26"/>
  <c r="A71" i="26"/>
  <c r="A69" i="26"/>
  <c r="A68" i="26"/>
  <c r="A67" i="26"/>
  <c r="A66" i="26"/>
  <c r="A65" i="26"/>
  <c r="A64" i="26"/>
  <c r="A88" i="26" s="1"/>
  <c r="A63" i="26"/>
  <c r="A47" i="26"/>
  <c r="Q46" i="26"/>
  <c r="B43" i="26"/>
  <c r="S26" i="26"/>
  <c r="S25" i="26"/>
  <c r="S13" i="26"/>
  <c r="S12" i="26"/>
  <c r="A2" i="26"/>
  <c r="V52" i="19"/>
  <c r="U52" i="19"/>
  <c r="T52" i="19"/>
  <c r="V51" i="19"/>
  <c r="V49" i="19"/>
  <c r="U49" i="19"/>
  <c r="T49" i="19"/>
  <c r="T48" i="19"/>
  <c r="V44" i="19"/>
  <c r="U44" i="19"/>
  <c r="T44" i="19"/>
  <c r="U41" i="19"/>
  <c r="V39" i="19"/>
  <c r="U39" i="19"/>
  <c r="T39" i="19"/>
  <c r="T37" i="19"/>
  <c r="S77" i="19"/>
  <c r="S76" i="19"/>
  <c r="U51" i="19"/>
  <c r="V48" i="19"/>
  <c r="V47" i="19"/>
  <c r="T45" i="19"/>
  <c r="V41" i="19"/>
  <c r="U40" i="19"/>
  <c r="V38" i="19"/>
  <c r="V37" i="19"/>
  <c r="R71" i="26" l="1"/>
  <c r="P64" i="26"/>
  <c r="Q65" i="26"/>
  <c r="P72" i="26"/>
  <c r="R65" i="26"/>
  <c r="R63" i="26"/>
  <c r="P63" i="26"/>
  <c r="Q63" i="26"/>
  <c r="P71" i="26"/>
  <c r="R64" i="26"/>
  <c r="Q64" i="26"/>
  <c r="R72" i="26"/>
  <c r="Q71" i="26"/>
  <c r="Q72" i="26"/>
  <c r="P65" i="26"/>
  <c r="AM45" i="32"/>
  <c r="AL52" i="32"/>
  <c r="AL59" i="32"/>
  <c r="AM46" i="32"/>
  <c r="AL60" i="32"/>
  <c r="AL53" i="32"/>
  <c r="AM44" i="32"/>
  <c r="AL58" i="32"/>
  <c r="AL51" i="32"/>
  <c r="AM48" i="32"/>
  <c r="AL62" i="32"/>
  <c r="AL55" i="32"/>
  <c r="AM49" i="32"/>
  <c r="AL56" i="32"/>
  <c r="AL63" i="32"/>
  <c r="AM47" i="32"/>
  <c r="AL61" i="32"/>
  <c r="AL54" i="32"/>
  <c r="Q67" i="19"/>
  <c r="R67" i="19" s="1"/>
  <c r="S46" i="19" s="1"/>
  <c r="U46" i="19" s="1"/>
  <c r="V13" i="26"/>
  <c r="R68" i="26" s="1"/>
  <c r="U13" i="26"/>
  <c r="Q68" i="26" s="1"/>
  <c r="T13" i="26"/>
  <c r="P68" i="26" s="1"/>
  <c r="U25" i="26"/>
  <c r="Q80" i="26" s="1"/>
  <c r="T25" i="26"/>
  <c r="P80" i="26" s="1"/>
  <c r="V25" i="26"/>
  <c r="R80" i="26" s="1"/>
  <c r="V26" i="26"/>
  <c r="R81" i="26" s="1"/>
  <c r="U26" i="26"/>
  <c r="Q81" i="26" s="1"/>
  <c r="T26" i="26"/>
  <c r="P81" i="26" s="1"/>
  <c r="U12" i="26"/>
  <c r="Q67" i="26" s="1"/>
  <c r="T12" i="26"/>
  <c r="P67" i="26" s="1"/>
  <c r="V12" i="26"/>
  <c r="R67" i="26" s="1"/>
  <c r="U48" i="19"/>
  <c r="U37" i="19"/>
  <c r="V40" i="19"/>
  <c r="T41" i="19"/>
  <c r="S11" i="26"/>
  <c r="S18" i="26"/>
  <c r="S19" i="26"/>
  <c r="S20" i="26"/>
  <c r="S22" i="26"/>
  <c r="S23" i="26"/>
  <c r="T38" i="19"/>
  <c r="U45" i="19"/>
  <c r="U38" i="19"/>
  <c r="V45" i="19"/>
  <c r="T47" i="19"/>
  <c r="T40" i="19"/>
  <c r="U47" i="19"/>
  <c r="T51" i="19"/>
  <c r="AN47" i="32" l="1"/>
  <c r="AM61" i="32"/>
  <c r="AM54" i="32"/>
  <c r="AN46" i="32"/>
  <c r="AM60" i="32"/>
  <c r="AM53" i="32"/>
  <c r="AN44" i="32"/>
  <c r="AM58" i="32"/>
  <c r="AM51" i="32"/>
  <c r="AN48" i="32"/>
  <c r="AM62" i="32"/>
  <c r="AM55" i="32"/>
  <c r="AN49" i="32"/>
  <c r="AM63" i="32"/>
  <c r="AM56" i="32"/>
  <c r="AN45" i="32"/>
  <c r="AM59" i="32"/>
  <c r="AM52" i="32"/>
  <c r="T23" i="26"/>
  <c r="P78" i="26" s="1"/>
  <c r="V23" i="26"/>
  <c r="R78" i="26" s="1"/>
  <c r="U23" i="26"/>
  <c r="Q78" i="26" s="1"/>
  <c r="V18" i="26"/>
  <c r="R73" i="26" s="1"/>
  <c r="U18" i="26"/>
  <c r="Q73" i="26" s="1"/>
  <c r="T18" i="26"/>
  <c r="P73" i="26" s="1"/>
  <c r="V22" i="26"/>
  <c r="R77" i="26" s="1"/>
  <c r="U22" i="26"/>
  <c r="Q77" i="26" s="1"/>
  <c r="T22" i="26"/>
  <c r="P77" i="26" s="1"/>
  <c r="T11" i="26"/>
  <c r="P66" i="26" s="1"/>
  <c r="U11" i="26"/>
  <c r="Q66" i="26" s="1"/>
  <c r="V11" i="26"/>
  <c r="R66" i="26" s="1"/>
  <c r="T20" i="26"/>
  <c r="P75" i="26" s="1"/>
  <c r="U20" i="26"/>
  <c r="Q75" i="26" s="1"/>
  <c r="V20" i="26"/>
  <c r="R75" i="26" s="1"/>
  <c r="V19" i="26"/>
  <c r="R74" i="26" s="1"/>
  <c r="U19" i="26"/>
  <c r="Q74" i="26" s="1"/>
  <c r="T19" i="26"/>
  <c r="P74" i="26" s="1"/>
  <c r="T46" i="19"/>
  <c r="V46" i="19"/>
  <c r="S27" i="26"/>
  <c r="S24" i="26"/>
  <c r="S21" i="26"/>
  <c r="S14" i="26"/>
  <c r="AO45" i="32" l="1"/>
  <c r="AN59" i="32"/>
  <c r="AN52" i="32"/>
  <c r="AO46" i="32"/>
  <c r="AN60" i="32"/>
  <c r="AN53" i="32"/>
  <c r="AO44" i="32"/>
  <c r="AN58" i="32"/>
  <c r="AN51" i="32"/>
  <c r="AO48" i="32"/>
  <c r="AN55" i="32"/>
  <c r="AN62" i="32"/>
  <c r="AO49" i="32"/>
  <c r="AN63" i="32"/>
  <c r="AN56" i="32"/>
  <c r="AO47" i="32"/>
  <c r="AN61" i="32"/>
  <c r="AN54" i="32"/>
  <c r="U21" i="26"/>
  <c r="Q76" i="26" s="1"/>
  <c r="T21" i="26"/>
  <c r="P76" i="26" s="1"/>
  <c r="V21" i="26"/>
  <c r="R76" i="26" s="1"/>
  <c r="T24" i="26"/>
  <c r="P79" i="26" s="1"/>
  <c r="U24" i="26"/>
  <c r="Q79" i="26" s="1"/>
  <c r="V24" i="26"/>
  <c r="R79" i="26" s="1"/>
  <c r="V27" i="26"/>
  <c r="R82" i="26" s="1"/>
  <c r="T27" i="26"/>
  <c r="P82" i="26" s="1"/>
  <c r="U27" i="26"/>
  <c r="Q82" i="26" s="1"/>
  <c r="V14" i="26"/>
  <c r="R69" i="26" s="1"/>
  <c r="U14" i="26"/>
  <c r="Q69" i="26" s="1"/>
  <c r="T14" i="26"/>
  <c r="P69" i="26" s="1"/>
  <c r="AP47" i="32" l="1"/>
  <c r="AO61" i="32"/>
  <c r="AO54" i="32"/>
  <c r="AP46" i="32"/>
  <c r="AO60" i="32"/>
  <c r="AO53" i="32"/>
  <c r="AP48" i="32"/>
  <c r="AO62" i="32"/>
  <c r="AO55" i="32"/>
  <c r="AP44" i="32"/>
  <c r="AO58" i="32"/>
  <c r="AO51" i="32"/>
  <c r="AP49" i="32"/>
  <c r="AO63" i="32"/>
  <c r="AO56" i="32"/>
  <c r="AP45" i="32"/>
  <c r="AO59" i="32"/>
  <c r="AO52" i="32"/>
  <c r="A102" i="24"/>
  <c r="Q101" i="24"/>
  <c r="B35" i="16"/>
  <c r="A39" i="16"/>
  <c r="Q38" i="16"/>
  <c r="A74" i="23"/>
  <c r="Q73" i="23"/>
  <c r="B70" i="23"/>
  <c r="T39" i="24"/>
  <c r="B91" i="24"/>
  <c r="A2" i="24"/>
  <c r="S66" i="23"/>
  <c r="S65" i="23"/>
  <c r="S64" i="23"/>
  <c r="S63" i="23"/>
  <c r="P52" i="23"/>
  <c r="P21" i="23" s="1"/>
  <c r="T35" i="24"/>
  <c r="T81" i="24"/>
  <c r="T77" i="24"/>
  <c r="Q21" i="23"/>
  <c r="T71" i="24"/>
  <c r="T67" i="24"/>
  <c r="T63" i="24"/>
  <c r="T59" i="24"/>
  <c r="T23" i="24"/>
  <c r="A4" i="23"/>
  <c r="A2" i="23"/>
  <c r="T217" i="24" l="1"/>
  <c r="P217" i="24"/>
  <c r="S217" i="24"/>
  <c r="R217" i="24"/>
  <c r="Q217" i="24"/>
  <c r="AQ45" i="32"/>
  <c r="AP59" i="32"/>
  <c r="AP52" i="32"/>
  <c r="AQ46" i="32"/>
  <c r="AP60" i="32"/>
  <c r="AP53" i="32"/>
  <c r="AQ44" i="32"/>
  <c r="AP58" i="32"/>
  <c r="AP51" i="32"/>
  <c r="AQ48" i="32"/>
  <c r="AP62" i="32"/>
  <c r="AP55" i="32"/>
  <c r="AQ49" i="32"/>
  <c r="AP63" i="32"/>
  <c r="AP56" i="32"/>
  <c r="AQ47" i="32"/>
  <c r="AP61" i="32"/>
  <c r="AP54" i="32"/>
  <c r="Q110" i="23"/>
  <c r="Q102" i="23"/>
  <c r="Q109" i="23"/>
  <c r="Q108" i="23"/>
  <c r="Q107" i="23"/>
  <c r="Q58" i="16"/>
  <c r="Q54" i="16"/>
  <c r="Q53" i="16"/>
  <c r="Q60" i="16"/>
  <c r="Q56" i="16"/>
  <c r="Q61" i="16"/>
  <c r="Q57" i="16"/>
  <c r="Q59" i="16"/>
  <c r="Q55" i="16"/>
  <c r="T210" i="24"/>
  <c r="P210" i="24"/>
  <c r="R210" i="24"/>
  <c r="Q210" i="24"/>
  <c r="S210" i="24"/>
  <c r="R21" i="23"/>
  <c r="T31" i="24" s="1"/>
  <c r="Q104" i="23"/>
  <c r="W69" i="24"/>
  <c r="V68" i="24"/>
  <c r="U67" i="24"/>
  <c r="V70" i="24"/>
  <c r="W70" i="24"/>
  <c r="V69" i="24"/>
  <c r="U68" i="24"/>
  <c r="U69" i="24"/>
  <c r="U70" i="24"/>
  <c r="W68" i="24"/>
  <c r="Y68" i="24" s="1"/>
  <c r="V67" i="24"/>
  <c r="W67" i="24"/>
  <c r="W83" i="24"/>
  <c r="V82" i="24"/>
  <c r="U81" i="24"/>
  <c r="U83" i="24"/>
  <c r="W84" i="24"/>
  <c r="V83" i="24"/>
  <c r="U82" i="24"/>
  <c r="U84" i="24"/>
  <c r="W82" i="24"/>
  <c r="V81" i="24"/>
  <c r="V84" i="24"/>
  <c r="W81" i="24"/>
  <c r="W25" i="24"/>
  <c r="V24" i="24"/>
  <c r="U23" i="24"/>
  <c r="V26" i="24"/>
  <c r="W23" i="24"/>
  <c r="W26" i="24"/>
  <c r="V25" i="24"/>
  <c r="U24" i="24"/>
  <c r="U25" i="24"/>
  <c r="U26" i="24"/>
  <c r="W24" i="24"/>
  <c r="V23" i="24"/>
  <c r="W73" i="24"/>
  <c r="V72" i="24"/>
  <c r="U71" i="24"/>
  <c r="U73" i="24"/>
  <c r="W74" i="24"/>
  <c r="V73" i="24"/>
  <c r="U72" i="24"/>
  <c r="U74" i="24"/>
  <c r="W72" i="24"/>
  <c r="V71" i="24"/>
  <c r="V74" i="24"/>
  <c r="W71" i="24"/>
  <c r="W37" i="24"/>
  <c r="V36" i="24"/>
  <c r="U35" i="24"/>
  <c r="W38" i="24"/>
  <c r="V37" i="24"/>
  <c r="U36" i="24"/>
  <c r="X36" i="24" s="1"/>
  <c r="W35" i="24"/>
  <c r="U38" i="24"/>
  <c r="W36" i="24"/>
  <c r="V35" i="24"/>
  <c r="Q150" i="24" s="1"/>
  <c r="V38" i="24"/>
  <c r="U37" i="24"/>
  <c r="Q125" i="24" s="1"/>
  <c r="W41" i="24"/>
  <c r="V40" i="24"/>
  <c r="U39" i="24"/>
  <c r="W39" i="24"/>
  <c r="W42" i="24"/>
  <c r="V41" i="24"/>
  <c r="U40" i="24"/>
  <c r="U41" i="24"/>
  <c r="U42" i="24"/>
  <c r="W40" i="24"/>
  <c r="Y40" i="24" s="1"/>
  <c r="V39" i="24"/>
  <c r="V42" i="24"/>
  <c r="W61" i="24"/>
  <c r="V60" i="24"/>
  <c r="U59" i="24"/>
  <c r="W59" i="24"/>
  <c r="W62" i="24"/>
  <c r="V61" i="24"/>
  <c r="U60" i="24"/>
  <c r="V62" i="24"/>
  <c r="U62" i="24"/>
  <c r="W60" i="24"/>
  <c r="Y60" i="24" s="1"/>
  <c r="V59" i="24"/>
  <c r="U61" i="24"/>
  <c r="W65" i="24"/>
  <c r="V64" i="24"/>
  <c r="U63" i="24"/>
  <c r="V66" i="24"/>
  <c r="U65" i="24"/>
  <c r="W66" i="24"/>
  <c r="V65" i="24"/>
  <c r="U64" i="24"/>
  <c r="U66" i="24"/>
  <c r="W64" i="24"/>
  <c r="Y64" i="24" s="1"/>
  <c r="V63" i="24"/>
  <c r="W63" i="24"/>
  <c r="W79" i="24"/>
  <c r="V78" i="24"/>
  <c r="U77" i="24"/>
  <c r="V80" i="24"/>
  <c r="W77" i="24"/>
  <c r="W80" i="24"/>
  <c r="V79" i="24"/>
  <c r="U78" i="24"/>
  <c r="U79" i="24"/>
  <c r="U80" i="24"/>
  <c r="W78" i="24"/>
  <c r="V77" i="24"/>
  <c r="T49" i="24"/>
  <c r="T53" i="24"/>
  <c r="P46" i="23"/>
  <c r="P48" i="23"/>
  <c r="P47" i="23"/>
  <c r="R219" i="24" l="1"/>
  <c r="S219" i="24"/>
  <c r="P219" i="24"/>
  <c r="Q219" i="24"/>
  <c r="T219" i="24"/>
  <c r="Q233" i="24" a="1"/>
  <c r="Q124" i="24"/>
  <c r="Q153" i="24"/>
  <c r="Q142" i="24"/>
  <c r="Q115" i="24"/>
  <c r="AR47" i="32"/>
  <c r="AQ61" i="32"/>
  <c r="AQ54" i="32"/>
  <c r="AR46" i="32"/>
  <c r="AQ60" i="32"/>
  <c r="AQ53" i="32"/>
  <c r="AR44" i="32"/>
  <c r="AQ58" i="32"/>
  <c r="AQ51" i="32"/>
  <c r="AR48" i="32"/>
  <c r="AQ62" i="32"/>
  <c r="AQ55" i="32"/>
  <c r="AR49" i="32"/>
  <c r="AQ63" i="32"/>
  <c r="AQ56" i="32"/>
  <c r="AR45" i="32"/>
  <c r="AQ59" i="32"/>
  <c r="AQ52" i="32"/>
  <c r="Q154" i="24"/>
  <c r="Q176" i="24"/>
  <c r="Q179" i="24"/>
  <c r="Q151" i="24"/>
  <c r="Q116" i="24"/>
  <c r="Q166" i="24"/>
  <c r="Q167" i="24"/>
  <c r="Q141" i="24"/>
  <c r="Q128" i="24"/>
  <c r="Q178" i="24"/>
  <c r="Q127" i="24"/>
  <c r="Q175" i="24"/>
  <c r="Q224" i="24" a="1"/>
  <c r="Q224" i="24" s="1"/>
  <c r="Y63" i="24"/>
  <c r="Y59" i="24"/>
  <c r="Y39" i="24"/>
  <c r="X38" i="24"/>
  <c r="Y38" i="24"/>
  <c r="X74" i="24"/>
  <c r="X84" i="24"/>
  <c r="Y67" i="24"/>
  <c r="X78" i="24"/>
  <c r="X64" i="24"/>
  <c r="X61" i="24"/>
  <c r="X41" i="24"/>
  <c r="X37" i="24"/>
  <c r="Y71" i="24"/>
  <c r="X73" i="24"/>
  <c r="X24" i="24"/>
  <c r="Y81" i="24"/>
  <c r="X83" i="24"/>
  <c r="X69" i="24"/>
  <c r="X72" i="24"/>
  <c r="Y24" i="24"/>
  <c r="X82" i="24"/>
  <c r="X68" i="24"/>
  <c r="Y78" i="24"/>
  <c r="X60" i="24"/>
  <c r="X40" i="24"/>
  <c r="Y35" i="24"/>
  <c r="X71" i="24"/>
  <c r="X79" i="24"/>
  <c r="Y79" i="24"/>
  <c r="X65" i="24"/>
  <c r="Y36" i="24"/>
  <c r="Y72" i="24"/>
  <c r="Y73" i="24"/>
  <c r="Y82" i="24"/>
  <c r="X35" i="24"/>
  <c r="X81" i="24"/>
  <c r="Y65" i="24"/>
  <c r="Y61" i="24"/>
  <c r="Y41" i="24"/>
  <c r="Y74" i="24"/>
  <c r="X25" i="24"/>
  <c r="Y25" i="24"/>
  <c r="Y84" i="24"/>
  <c r="Y83" i="24"/>
  <c r="Y69" i="24"/>
  <c r="X77" i="24"/>
  <c r="X63" i="24"/>
  <c r="X59" i="24"/>
  <c r="X39" i="24"/>
  <c r="X23" i="24"/>
  <c r="X67" i="24"/>
  <c r="W55" i="24"/>
  <c r="V54" i="24"/>
  <c r="U53" i="24"/>
  <c r="U55" i="24"/>
  <c r="W56" i="24"/>
  <c r="V55" i="24"/>
  <c r="U54" i="24"/>
  <c r="U56" i="24"/>
  <c r="W54" i="24"/>
  <c r="V53" i="24"/>
  <c r="Q160" i="24" s="1"/>
  <c r="V56" i="24"/>
  <c r="W53" i="24"/>
  <c r="X80" i="24"/>
  <c r="Y80" i="24"/>
  <c r="Y66" i="24"/>
  <c r="X26" i="24"/>
  <c r="Y26" i="24"/>
  <c r="W33" i="24"/>
  <c r="V32" i="24"/>
  <c r="U31" i="24"/>
  <c r="V34" i="24"/>
  <c r="W31" i="24"/>
  <c r="W34" i="24"/>
  <c r="V33" i="24"/>
  <c r="U32" i="24"/>
  <c r="U34" i="24"/>
  <c r="W32" i="24"/>
  <c r="V31" i="24"/>
  <c r="U33" i="24"/>
  <c r="W51" i="24"/>
  <c r="V50" i="24"/>
  <c r="U49" i="24"/>
  <c r="V51" i="24"/>
  <c r="W49" i="24"/>
  <c r="U50" i="24"/>
  <c r="V52" i="24"/>
  <c r="U52" i="24"/>
  <c r="W50" i="24"/>
  <c r="V49" i="24"/>
  <c r="W52" i="24"/>
  <c r="U51" i="24"/>
  <c r="Y77" i="24"/>
  <c r="X66" i="24"/>
  <c r="X62" i="24"/>
  <c r="Y62" i="24"/>
  <c r="X42" i="24"/>
  <c r="Y42" i="24"/>
  <c r="Y37" i="24"/>
  <c r="Y23" i="24"/>
  <c r="X70" i="24"/>
  <c r="Y70" i="24"/>
  <c r="P49" i="23"/>
  <c r="P16" i="23" s="1"/>
  <c r="Q157" i="24" l="1"/>
  <c r="Q233" i="24"/>
  <c r="Q237" i="24"/>
  <c r="Q234" i="24"/>
  <c r="Q235" i="24"/>
  <c r="Q236" i="24"/>
  <c r="AS45" i="32"/>
  <c r="AR59" i="32"/>
  <c r="AR52" i="32"/>
  <c r="AS46" i="32"/>
  <c r="AR53" i="32"/>
  <c r="AR60" i="32"/>
  <c r="AS44" i="32"/>
  <c r="AR58" i="32"/>
  <c r="AR51" i="32"/>
  <c r="AS48" i="32"/>
  <c r="AR55" i="32"/>
  <c r="AR62" i="32"/>
  <c r="AS49" i="32"/>
  <c r="AR63" i="32"/>
  <c r="AR56" i="32"/>
  <c r="AS47" i="32"/>
  <c r="AR61" i="32"/>
  <c r="AR54" i="32"/>
  <c r="Q132" i="24"/>
  <c r="Q131" i="24"/>
  <c r="Q147" i="24"/>
  <c r="Q135" i="24"/>
  <c r="Q121" i="24"/>
  <c r="Q134" i="24"/>
  <c r="Q148" i="24"/>
  <c r="Q185" i="24"/>
  <c r="Q182" i="24"/>
  <c r="Q172" i="24"/>
  <c r="Q173" i="24"/>
  <c r="Q161" i="24"/>
  <c r="Q183" i="24"/>
  <c r="Q158" i="24"/>
  <c r="Q122" i="24"/>
  <c r="Q186" i="24"/>
  <c r="X50" i="24"/>
  <c r="X51" i="24"/>
  <c r="Q227" i="24"/>
  <c r="Q226" i="24"/>
  <c r="Q228" i="24"/>
  <c r="Q225" i="24"/>
  <c r="Y32" i="24"/>
  <c r="X34" i="24"/>
  <c r="Y52" i="24"/>
  <c r="Y31" i="24"/>
  <c r="Y33" i="24"/>
  <c r="Q177" i="24"/>
  <c r="X52" i="24"/>
  <c r="X33" i="24"/>
  <c r="Y50" i="24"/>
  <c r="Y49" i="24"/>
  <c r="Y51" i="24"/>
  <c r="X32" i="24"/>
  <c r="Y56" i="24"/>
  <c r="X49" i="24"/>
  <c r="X56" i="24"/>
  <c r="Y55" i="24"/>
  <c r="X31" i="24"/>
  <c r="Y53" i="24"/>
  <c r="X55" i="24"/>
  <c r="Y54" i="24"/>
  <c r="Y34" i="24"/>
  <c r="X54" i="24"/>
  <c r="X53" i="24"/>
  <c r="Q180" i="24"/>
  <c r="Q152" i="24"/>
  <c r="Q126" i="24"/>
  <c r="Q117" i="24"/>
  <c r="Q129" i="24"/>
  <c r="Q168" i="24"/>
  <c r="Q155" i="24"/>
  <c r="Q143" i="24"/>
  <c r="Q16" i="23"/>
  <c r="AT47" i="32" l="1"/>
  <c r="AS61" i="32"/>
  <c r="AS54" i="32"/>
  <c r="AT46" i="32"/>
  <c r="AS60" i="32"/>
  <c r="AS53" i="32"/>
  <c r="AT44" i="32"/>
  <c r="AS58" i="32"/>
  <c r="AS51" i="32"/>
  <c r="AT48" i="32"/>
  <c r="AS62" i="32"/>
  <c r="AS55" i="32"/>
  <c r="AT49" i="32"/>
  <c r="AS63" i="32"/>
  <c r="AS56" i="32"/>
  <c r="AT45" i="32"/>
  <c r="AS59" i="32"/>
  <c r="AS52" i="32"/>
  <c r="R16" i="23"/>
  <c r="T27" i="24" s="1"/>
  <c r="Q103" i="23"/>
  <c r="Q117" i="23"/>
  <c r="Q162" i="24"/>
  <c r="Q136" i="24"/>
  <c r="Q184" i="24"/>
  <c r="S117" i="23" s="1"/>
  <c r="Q123" i="24"/>
  <c r="Q174" i="24"/>
  <c r="Q159" i="24"/>
  <c r="Q187" i="24"/>
  <c r="T117" i="23" s="1"/>
  <c r="Q133" i="24"/>
  <c r="Q149" i="24"/>
  <c r="T144" i="23" l="1"/>
  <c r="U145" i="23"/>
  <c r="T145" i="23"/>
  <c r="U144" i="23"/>
  <c r="U147" i="23"/>
  <c r="T147" i="23"/>
  <c r="T146" i="23"/>
  <c r="U146" i="23"/>
  <c r="AU45" i="32"/>
  <c r="AT59" i="32"/>
  <c r="AT52" i="32"/>
  <c r="AU46" i="32"/>
  <c r="AT60" i="32"/>
  <c r="AT53" i="32"/>
  <c r="AU44" i="32"/>
  <c r="AT58" i="32"/>
  <c r="AT51" i="32"/>
  <c r="AU48" i="32"/>
  <c r="AT62" i="32"/>
  <c r="AT55" i="32"/>
  <c r="AU49" i="32"/>
  <c r="AT56" i="32"/>
  <c r="AT63" i="32"/>
  <c r="AU47" i="32"/>
  <c r="AT61" i="32"/>
  <c r="AT54" i="32"/>
  <c r="W29" i="24"/>
  <c r="V28" i="24"/>
  <c r="U27" i="24"/>
  <c r="W30" i="24"/>
  <c r="V29" i="24"/>
  <c r="U28" i="24"/>
  <c r="U29" i="24"/>
  <c r="U30" i="24"/>
  <c r="W28" i="24"/>
  <c r="V27" i="24"/>
  <c r="Q144" i="24" s="1"/>
  <c r="V30" i="24"/>
  <c r="W27" i="24"/>
  <c r="AV47" i="32" l="1"/>
  <c r="AU61" i="32"/>
  <c r="AU54" i="32"/>
  <c r="AV46" i="32"/>
  <c r="AU60" i="32"/>
  <c r="AU53" i="32"/>
  <c r="AV44" i="32"/>
  <c r="AU58" i="32"/>
  <c r="AU51" i="32"/>
  <c r="AV48" i="32"/>
  <c r="AU62" i="32"/>
  <c r="AU55" i="32"/>
  <c r="AV49" i="32"/>
  <c r="AU63" i="32"/>
  <c r="AU56" i="32"/>
  <c r="AV45" i="32"/>
  <c r="AU59" i="32"/>
  <c r="AU52" i="32"/>
  <c r="Q169" i="24"/>
  <c r="Q118" i="24"/>
  <c r="Q119" i="24"/>
  <c r="Q145" i="24"/>
  <c r="Q146" i="24" s="1"/>
  <c r="Q170" i="24"/>
  <c r="X28" i="24"/>
  <c r="X29" i="24"/>
  <c r="Y27" i="24"/>
  <c r="X30" i="24"/>
  <c r="Y30" i="24"/>
  <c r="Y28" i="24"/>
  <c r="X27" i="24"/>
  <c r="Y29" i="24"/>
  <c r="AW45" i="32" l="1"/>
  <c r="AV59" i="32"/>
  <c r="AV52" i="32"/>
  <c r="AW46" i="32"/>
  <c r="AV60" i="32"/>
  <c r="AV53" i="32"/>
  <c r="AW44" i="32"/>
  <c r="AV51" i="32"/>
  <c r="AV58" i="32"/>
  <c r="AW48" i="32"/>
  <c r="AV62" i="32"/>
  <c r="AV55" i="32"/>
  <c r="AW49" i="32"/>
  <c r="AV63" i="32"/>
  <c r="AV56" i="32"/>
  <c r="AW47" i="32"/>
  <c r="AV61" i="32"/>
  <c r="AV54" i="32"/>
  <c r="Q120" i="24"/>
  <c r="Q171" i="24"/>
  <c r="R117" i="23" s="1"/>
  <c r="S45" i="22"/>
  <c r="S43" i="22"/>
  <c r="S42" i="22"/>
  <c r="S41" i="22"/>
  <c r="T36" i="22"/>
  <c r="S36" i="22"/>
  <c r="R36" i="22"/>
  <c r="Q36" i="22"/>
  <c r="P36" i="22"/>
  <c r="T35" i="22"/>
  <c r="S35" i="22"/>
  <c r="R35" i="22"/>
  <c r="Q35" i="22"/>
  <c r="P35" i="22"/>
  <c r="Q34" i="22"/>
  <c r="R34" i="22" s="1"/>
  <c r="S34" i="22" s="1"/>
  <c r="T34" i="22" s="1"/>
  <c r="Q23" i="22"/>
  <c r="R23" i="22" s="1"/>
  <c r="S23" i="22" s="1"/>
  <c r="T23" i="22" s="1"/>
  <c r="A2" i="22"/>
  <c r="S44" i="22" l="1"/>
  <c r="AX47" i="32"/>
  <c r="AW61" i="32"/>
  <c r="AW54" i="32"/>
  <c r="AX46" i="32"/>
  <c r="AW60" i="32"/>
  <c r="AW53" i="32"/>
  <c r="AX44" i="32"/>
  <c r="AW58" i="32"/>
  <c r="AW51" i="32"/>
  <c r="AX48" i="32"/>
  <c r="AW62" i="32"/>
  <c r="AW55" i="32"/>
  <c r="AX49" i="32"/>
  <c r="AW63" i="32"/>
  <c r="AW56" i="32"/>
  <c r="AX45" i="32"/>
  <c r="AW59" i="32"/>
  <c r="AW52" i="32"/>
  <c r="A118" i="19"/>
  <c r="A116" i="19"/>
  <c r="P114" i="19"/>
  <c r="P107" i="19"/>
  <c r="R95" i="19"/>
  <c r="S95" i="19" s="1"/>
  <c r="T95" i="19" s="1"/>
  <c r="U95" i="19" s="1"/>
  <c r="V95" i="19" s="1"/>
  <c r="W95" i="19" s="1"/>
  <c r="X95" i="19" s="1"/>
  <c r="Y95" i="19" s="1"/>
  <c r="Z95" i="19" s="1"/>
  <c r="AA95" i="19" s="1"/>
  <c r="AB95" i="19" s="1"/>
  <c r="AC95" i="19" s="1"/>
  <c r="AD95" i="19" s="1"/>
  <c r="AE95" i="19" s="1"/>
  <c r="AF95" i="19" s="1"/>
  <c r="AG95" i="19" s="1"/>
  <c r="AH95" i="19" s="1"/>
  <c r="AI95" i="19" s="1"/>
  <c r="AJ95" i="19" s="1"/>
  <c r="AK95" i="19" s="1"/>
  <c r="AL95" i="19" s="1"/>
  <c r="AM95" i="19" s="1"/>
  <c r="AN95" i="19" s="1"/>
  <c r="AO95" i="19" s="1"/>
  <c r="AP95" i="19" s="1"/>
  <c r="AQ95" i="19" s="1"/>
  <c r="AR95" i="19" s="1"/>
  <c r="AS95" i="19" s="1"/>
  <c r="AT95" i="19" s="1"/>
  <c r="AU95" i="19" s="1"/>
  <c r="AV95" i="19" s="1"/>
  <c r="AW95" i="19" s="1"/>
  <c r="AX95" i="19" s="1"/>
  <c r="AY95" i="19" s="1"/>
  <c r="AZ95" i="19" s="1"/>
  <c r="BA95" i="19" s="1"/>
  <c r="BB95" i="19" s="1"/>
  <c r="BC95" i="19" s="1"/>
  <c r="BD95" i="19" s="1"/>
  <c r="BE95" i="19" s="1"/>
  <c r="BF95" i="19" s="1"/>
  <c r="BG95" i="19" s="1"/>
  <c r="BH95" i="19" s="1"/>
  <c r="BI95" i="19" s="1"/>
  <c r="A85" i="19"/>
  <c r="Q84" i="19"/>
  <c r="B81" i="19"/>
  <c r="A24" i="19"/>
  <c r="A23" i="19"/>
  <c r="A20" i="19"/>
  <c r="A18" i="19"/>
  <c r="U14" i="19"/>
  <c r="V14" i="19" s="1"/>
  <c r="W14" i="19" s="1"/>
  <c r="X14" i="19" s="1"/>
  <c r="Y14" i="19" s="1"/>
  <c r="Z14" i="19" s="1"/>
  <c r="AA14" i="19" s="1"/>
  <c r="AB14" i="19" s="1"/>
  <c r="AC14" i="19" s="1"/>
  <c r="AD14" i="19" s="1"/>
  <c r="AE14" i="19" s="1"/>
  <c r="AF14" i="19" s="1"/>
  <c r="AG14" i="19" s="1"/>
  <c r="AH14" i="19" s="1"/>
  <c r="AI14" i="19" s="1"/>
  <c r="AJ14" i="19" s="1"/>
  <c r="AK14" i="19" s="1"/>
  <c r="AL14" i="19" s="1"/>
  <c r="AM14" i="19" s="1"/>
  <c r="AN14" i="19" s="1"/>
  <c r="AO14" i="19" s="1"/>
  <c r="AP14" i="19" s="1"/>
  <c r="AQ14" i="19" s="1"/>
  <c r="AR14" i="19" s="1"/>
  <c r="AS14" i="19" s="1"/>
  <c r="AT14" i="19" s="1"/>
  <c r="AU14" i="19" s="1"/>
  <c r="AV14" i="19" s="1"/>
  <c r="AW14" i="19" s="1"/>
  <c r="AX14" i="19" s="1"/>
  <c r="AY14" i="19" s="1"/>
  <c r="AZ14" i="19" s="1"/>
  <c r="BA14" i="19" s="1"/>
  <c r="BB14" i="19" s="1"/>
  <c r="BC14" i="19" s="1"/>
  <c r="BD14" i="19" s="1"/>
  <c r="BE14" i="19" s="1"/>
  <c r="BF14" i="19" s="1"/>
  <c r="BG14" i="19" s="1"/>
  <c r="BH14" i="19" s="1"/>
  <c r="BI14" i="19" s="1"/>
  <c r="BJ14" i="19" s="1"/>
  <c r="A13" i="19"/>
  <c r="U7" i="19"/>
  <c r="V7" i="19" s="1"/>
  <c r="W7" i="19" s="1"/>
  <c r="X7" i="19" s="1"/>
  <c r="Y7" i="19" s="1"/>
  <c r="Z7" i="19" s="1"/>
  <c r="AA7" i="19" s="1"/>
  <c r="AB7" i="19" s="1"/>
  <c r="AC7" i="19" s="1"/>
  <c r="AD7" i="19" s="1"/>
  <c r="AE7" i="19" s="1"/>
  <c r="AF7" i="19" s="1"/>
  <c r="AG7" i="19" s="1"/>
  <c r="AH7" i="19" s="1"/>
  <c r="AI7" i="19" s="1"/>
  <c r="AJ7" i="19" s="1"/>
  <c r="AK7" i="19" s="1"/>
  <c r="AL7" i="19" s="1"/>
  <c r="AM7" i="19" s="1"/>
  <c r="AN7" i="19" s="1"/>
  <c r="AO7" i="19" s="1"/>
  <c r="AP7" i="19" s="1"/>
  <c r="AQ7" i="19" s="1"/>
  <c r="AR7" i="19" s="1"/>
  <c r="AS7" i="19" s="1"/>
  <c r="AT7" i="19" s="1"/>
  <c r="AU7" i="19" s="1"/>
  <c r="AV7" i="19" s="1"/>
  <c r="AW7" i="19" s="1"/>
  <c r="AX7" i="19" s="1"/>
  <c r="AY7" i="19" s="1"/>
  <c r="AZ7" i="19" s="1"/>
  <c r="BA7" i="19" s="1"/>
  <c r="BB7" i="19" s="1"/>
  <c r="BC7" i="19" s="1"/>
  <c r="BD7" i="19" s="1"/>
  <c r="BE7" i="19" s="1"/>
  <c r="BF7" i="19" s="1"/>
  <c r="BG7" i="19" s="1"/>
  <c r="BH7" i="19" s="1"/>
  <c r="BI7" i="19" s="1"/>
  <c r="BJ7" i="19" s="1"/>
  <c r="A6" i="19"/>
  <c r="A4" i="19"/>
  <c r="A13" i="17"/>
  <c r="A6" i="17"/>
  <c r="A4" i="17"/>
  <c r="A2" i="19"/>
  <c r="P105" i="19" l="1"/>
  <c r="R105" i="19"/>
  <c r="Q104" i="19"/>
  <c r="P104" i="19"/>
  <c r="R104" i="19"/>
  <c r="Q105" i="19"/>
  <c r="Q102" i="19"/>
  <c r="R102" i="19"/>
  <c r="P102" i="19"/>
  <c r="AY45" i="32"/>
  <c r="AX59" i="32"/>
  <c r="AX52" i="32"/>
  <c r="AY46" i="32"/>
  <c r="AX60" i="32"/>
  <c r="AX53" i="32"/>
  <c r="AY44" i="32"/>
  <c r="AX58" i="32"/>
  <c r="AX51" i="32"/>
  <c r="AY48" i="32"/>
  <c r="AX62" i="32"/>
  <c r="AX55" i="32"/>
  <c r="AY49" i="32"/>
  <c r="AX56" i="32"/>
  <c r="AX63" i="32"/>
  <c r="AY47" i="32"/>
  <c r="AX54" i="32"/>
  <c r="AX61" i="32"/>
  <c r="A28" i="17"/>
  <c r="A26" i="17"/>
  <c r="A25" i="17"/>
  <c r="A24" i="17"/>
  <c r="A23" i="17"/>
  <c r="A20" i="17"/>
  <c r="A18" i="17"/>
  <c r="A69" i="17"/>
  <c r="A67" i="17"/>
  <c r="AZ47" i="32" l="1"/>
  <c r="AY61" i="32"/>
  <c r="AY54" i="32"/>
  <c r="AZ46" i="32"/>
  <c r="AY60" i="32"/>
  <c r="AY53" i="32"/>
  <c r="AZ44" i="32"/>
  <c r="AY58" i="32"/>
  <c r="AY51" i="32"/>
  <c r="AZ48" i="32"/>
  <c r="AY62" i="32"/>
  <c r="AY55" i="32"/>
  <c r="AZ49" i="32"/>
  <c r="AY63" i="32"/>
  <c r="AY56" i="32"/>
  <c r="AZ45" i="32"/>
  <c r="AY59" i="32"/>
  <c r="AY52" i="32"/>
  <c r="A4" i="13"/>
  <c r="A216" i="17"/>
  <c r="B203" i="17"/>
  <c r="B202" i="17"/>
  <c r="B201" i="17"/>
  <c r="P194" i="17"/>
  <c r="P193" i="17"/>
  <c r="P192" i="17"/>
  <c r="P191" i="17"/>
  <c r="P190" i="17"/>
  <c r="A190" i="17"/>
  <c r="P189" i="17"/>
  <c r="AY99" i="17"/>
  <c r="AY7" i="13" s="1"/>
  <c r="AT99" i="17"/>
  <c r="AO99" i="17"/>
  <c r="AJ99" i="17"/>
  <c r="AE99" i="17"/>
  <c r="Z99" i="17"/>
  <c r="U99" i="17"/>
  <c r="Q99" i="17"/>
  <c r="A94" i="17"/>
  <c r="T92" i="17"/>
  <c r="S92" i="17"/>
  <c r="R92" i="17"/>
  <c r="R93" i="17" s="1"/>
  <c r="R91" i="17"/>
  <c r="S91" i="17" s="1"/>
  <c r="A89" i="17"/>
  <c r="Q88" i="17"/>
  <c r="U226" i="17"/>
  <c r="T226" i="17"/>
  <c r="U225" i="17"/>
  <c r="T225" i="17"/>
  <c r="AA57" i="17"/>
  <c r="W227" i="17" s="1"/>
  <c r="AA39" i="17"/>
  <c r="U14" i="17"/>
  <c r="V14" i="17" s="1"/>
  <c r="W14" i="17" s="1"/>
  <c r="X14" i="17" s="1"/>
  <c r="Y14" i="17" s="1"/>
  <c r="Z14" i="17" s="1"/>
  <c r="AA14" i="17" s="1"/>
  <c r="AB14" i="17" s="1"/>
  <c r="AC14" i="17" s="1"/>
  <c r="AD14" i="17" s="1"/>
  <c r="AE14" i="17" s="1"/>
  <c r="AF14" i="17" s="1"/>
  <c r="AG14" i="17" s="1"/>
  <c r="AH14" i="17" s="1"/>
  <c r="AI14" i="17" s="1"/>
  <c r="AJ14" i="17" s="1"/>
  <c r="AK14" i="17" s="1"/>
  <c r="AL14" i="17" s="1"/>
  <c r="AM14" i="17" s="1"/>
  <c r="AN14" i="17" s="1"/>
  <c r="AO14" i="17" s="1"/>
  <c r="AP14" i="17" s="1"/>
  <c r="AQ14" i="17" s="1"/>
  <c r="AR14" i="17" s="1"/>
  <c r="AS14" i="17" s="1"/>
  <c r="AT14" i="17" s="1"/>
  <c r="AU14" i="17" s="1"/>
  <c r="AV14" i="17" s="1"/>
  <c r="AW14" i="17" s="1"/>
  <c r="AX14" i="17" s="1"/>
  <c r="AY14" i="17" s="1"/>
  <c r="AZ14" i="17" s="1"/>
  <c r="BA14" i="17" s="1"/>
  <c r="BB14" i="17" s="1"/>
  <c r="BC14" i="17" s="1"/>
  <c r="BD14" i="17" s="1"/>
  <c r="BE14" i="17" s="1"/>
  <c r="BF14" i="17" s="1"/>
  <c r="BG14" i="17" s="1"/>
  <c r="BH14" i="17" s="1"/>
  <c r="BI14" i="17" s="1"/>
  <c r="BJ14" i="17" s="1"/>
  <c r="U7" i="17"/>
  <c r="V7" i="17" s="1"/>
  <c r="W7" i="17" s="1"/>
  <c r="X7" i="17" s="1"/>
  <c r="Y7" i="17" s="1"/>
  <c r="Z7" i="17" s="1"/>
  <c r="AA7" i="17" s="1"/>
  <c r="AB7" i="17" s="1"/>
  <c r="AC7" i="17" s="1"/>
  <c r="AD7" i="17" s="1"/>
  <c r="AE7" i="17" s="1"/>
  <c r="AF7" i="17" s="1"/>
  <c r="AG7" i="17" s="1"/>
  <c r="AH7" i="17" s="1"/>
  <c r="AI7" i="17" s="1"/>
  <c r="AJ7" i="17" s="1"/>
  <c r="AK7" i="17" s="1"/>
  <c r="AL7" i="17" s="1"/>
  <c r="AM7" i="17" s="1"/>
  <c r="AN7" i="17" s="1"/>
  <c r="AO7" i="17" s="1"/>
  <c r="AP7" i="17" s="1"/>
  <c r="AQ7" i="17" s="1"/>
  <c r="AR7" i="17" s="1"/>
  <c r="AS7" i="17" s="1"/>
  <c r="AT7" i="17" s="1"/>
  <c r="AU7" i="17" s="1"/>
  <c r="AV7" i="17" s="1"/>
  <c r="AW7" i="17" s="1"/>
  <c r="AX7" i="17" s="1"/>
  <c r="AY7" i="17" s="1"/>
  <c r="AZ7" i="17" s="1"/>
  <c r="BA7" i="17" s="1"/>
  <c r="BB7" i="17" s="1"/>
  <c r="BC7" i="17" s="1"/>
  <c r="BD7" i="17" s="1"/>
  <c r="BE7" i="17" s="1"/>
  <c r="BF7" i="17" s="1"/>
  <c r="BG7" i="17" s="1"/>
  <c r="BH7" i="17" s="1"/>
  <c r="BI7" i="17" s="1"/>
  <c r="BJ7" i="17" s="1"/>
  <c r="A2" i="17"/>
  <c r="T91" i="17" l="1"/>
  <c r="BA45" i="32"/>
  <c r="AZ59" i="32"/>
  <c r="AZ52" i="32"/>
  <c r="BA46" i="32"/>
  <c r="AZ60" i="32"/>
  <c r="AZ53" i="32"/>
  <c r="BA44" i="32"/>
  <c r="AZ58" i="32"/>
  <c r="AZ51" i="32"/>
  <c r="BA48" i="32"/>
  <c r="AZ62" i="32"/>
  <c r="AZ55" i="32"/>
  <c r="BA49" i="32"/>
  <c r="AZ63" i="32"/>
  <c r="AZ56" i="32"/>
  <c r="BA47" i="32"/>
  <c r="AZ61" i="32"/>
  <c r="AZ54" i="32"/>
  <c r="Z7" i="13"/>
  <c r="AA99" i="17"/>
  <c r="AB99" i="17" s="1"/>
  <c r="AC99" i="17" s="1"/>
  <c r="AD99" i="17" s="1"/>
  <c r="AT7" i="13"/>
  <c r="AU99" i="17"/>
  <c r="AV99" i="17" s="1"/>
  <c r="AW99" i="17" s="1"/>
  <c r="AX99" i="17" s="1"/>
  <c r="AE7" i="13"/>
  <c r="AF99" i="17"/>
  <c r="AG99" i="17" s="1"/>
  <c r="AH99" i="17" s="1"/>
  <c r="AI99" i="17" s="1"/>
  <c r="U7" i="13"/>
  <c r="V99" i="17"/>
  <c r="W99" i="17" s="1"/>
  <c r="X99" i="17" s="1"/>
  <c r="Y99" i="17" s="1"/>
  <c r="AO7" i="13"/>
  <c r="AP99" i="17"/>
  <c r="AQ99" i="17" s="1"/>
  <c r="AR99" i="17" s="1"/>
  <c r="AS99" i="17" s="1"/>
  <c r="Q7" i="13"/>
  <c r="R99" i="17"/>
  <c r="S99" i="17" s="1"/>
  <c r="T99" i="17" s="1"/>
  <c r="AJ7" i="13"/>
  <c r="AK99" i="17"/>
  <c r="AL99" i="17" s="1"/>
  <c r="AM99" i="17" s="1"/>
  <c r="AN99" i="17" s="1"/>
  <c r="B200" i="17"/>
  <c r="P218" i="17" s="1"/>
  <c r="S93" i="17"/>
  <c r="T93" i="17" s="1"/>
  <c r="U93" i="17" s="1"/>
  <c r="Q101" i="17"/>
  <c r="AF7" i="13"/>
  <c r="AZ99" i="17"/>
  <c r="AZ7" i="13" s="1"/>
  <c r="Q9" i="13" l="1"/>
  <c r="Q107" i="17"/>
  <c r="B40" i="28" s="1"/>
  <c r="U91" i="17"/>
  <c r="AA7" i="13"/>
  <c r="BB47" i="32"/>
  <c r="BA61" i="32"/>
  <c r="BA54" i="32"/>
  <c r="BB46" i="32"/>
  <c r="BA60" i="32"/>
  <c r="BA53" i="32"/>
  <c r="BB44" i="32"/>
  <c r="BA58" i="32"/>
  <c r="BA51" i="32"/>
  <c r="BB48" i="32"/>
  <c r="BA62" i="32"/>
  <c r="BA55" i="32"/>
  <c r="BB49" i="32"/>
  <c r="BA63" i="32"/>
  <c r="BA56" i="32"/>
  <c r="BB45" i="32"/>
  <c r="BA59" i="32"/>
  <c r="BA52" i="32"/>
  <c r="V7" i="13"/>
  <c r="R7" i="13"/>
  <c r="AK7" i="13"/>
  <c r="BG218" i="17"/>
  <c r="BC218" i="17"/>
  <c r="AY218" i="17"/>
  <c r="AU218" i="17"/>
  <c r="AQ218" i="17"/>
  <c r="AM218" i="17"/>
  <c r="AI218" i="17"/>
  <c r="AE218" i="17"/>
  <c r="AA218" i="17"/>
  <c r="W218" i="17"/>
  <c r="S218" i="17"/>
  <c r="BF218" i="17"/>
  <c r="BB218" i="17"/>
  <c r="AX218" i="17"/>
  <c r="AT218" i="17"/>
  <c r="AP218" i="17"/>
  <c r="AL218" i="17"/>
  <c r="AH218" i="17"/>
  <c r="AD218" i="17"/>
  <c r="Z218" i="17"/>
  <c r="V218" i="17"/>
  <c r="BI218" i="17"/>
  <c r="BE218" i="17"/>
  <c r="BA218" i="17"/>
  <c r="AW218" i="17"/>
  <c r="AS218" i="17"/>
  <c r="AO218" i="17"/>
  <c r="AK218" i="17"/>
  <c r="AG218" i="17"/>
  <c r="AC218" i="17"/>
  <c r="Y218" i="17"/>
  <c r="U218" i="17"/>
  <c r="AZ218" i="17"/>
  <c r="AJ218" i="17"/>
  <c r="T218" i="17"/>
  <c r="AR218" i="17"/>
  <c r="AB218" i="17"/>
  <c r="BD218" i="17"/>
  <c r="X218" i="17"/>
  <c r="AV218" i="17"/>
  <c r="AF218" i="17"/>
  <c r="BH218" i="17"/>
  <c r="AN218" i="17"/>
  <c r="P220" i="17"/>
  <c r="P216" i="17"/>
  <c r="P217" i="17"/>
  <c r="P215" i="17"/>
  <c r="P219" i="17"/>
  <c r="V93" i="17"/>
  <c r="W93" i="17" s="1"/>
  <c r="X93" i="17" s="1"/>
  <c r="Y93" i="17" s="1"/>
  <c r="Z93" i="17" s="1"/>
  <c r="AA93" i="17" s="1"/>
  <c r="AB93" i="17" s="1"/>
  <c r="AC93" i="17" s="1"/>
  <c r="AD93" i="17" s="1"/>
  <c r="AE93" i="17" s="1"/>
  <c r="AF93" i="17" s="1"/>
  <c r="AG93" i="17" s="1"/>
  <c r="AH93" i="17" s="1"/>
  <c r="AI93" i="17" s="1"/>
  <c r="AJ93" i="17" s="1"/>
  <c r="AK93" i="17" s="1"/>
  <c r="AL93" i="17" s="1"/>
  <c r="AM93" i="17" s="1"/>
  <c r="AN93" i="17" s="1"/>
  <c r="AO93" i="17" s="1"/>
  <c r="AP93" i="17" s="1"/>
  <c r="AQ93" i="17" s="1"/>
  <c r="AR93" i="17" s="1"/>
  <c r="AS93" i="17" s="1"/>
  <c r="AT93" i="17" s="1"/>
  <c r="AU93" i="17" s="1"/>
  <c r="AV93" i="17" s="1"/>
  <c r="AW93" i="17" s="1"/>
  <c r="AX93" i="17" s="1"/>
  <c r="AY93" i="17" s="1"/>
  <c r="AZ93" i="17" s="1"/>
  <c r="BA93" i="17" s="1"/>
  <c r="BB93" i="17" s="1"/>
  <c r="BC93" i="17" s="1"/>
  <c r="BD93" i="17" s="1"/>
  <c r="BE93" i="17" s="1"/>
  <c r="BF93" i="17" s="1"/>
  <c r="BG93" i="17" s="1"/>
  <c r="BH93" i="17" s="1"/>
  <c r="BI93" i="17" s="1"/>
  <c r="U101" i="17"/>
  <c r="U107" i="17" s="1"/>
  <c r="F40" i="28" s="1"/>
  <c r="AP7" i="13"/>
  <c r="AU7" i="13"/>
  <c r="AF100" i="17"/>
  <c r="AG7" i="13"/>
  <c r="AL7" i="13"/>
  <c r="AK100" i="17"/>
  <c r="V100" i="17"/>
  <c r="W7" i="13"/>
  <c r="AZ100" i="17"/>
  <c r="BA99" i="17"/>
  <c r="BA7" i="13" s="1"/>
  <c r="R100" i="17"/>
  <c r="R101" i="17"/>
  <c r="S7" i="13"/>
  <c r="AB7" i="13"/>
  <c r="AA100" i="17"/>
  <c r="R9" i="13" l="1"/>
  <c r="R106" i="17"/>
  <c r="R107" i="17"/>
  <c r="C40" i="28" s="1"/>
  <c r="V91" i="17"/>
  <c r="BC45" i="32"/>
  <c r="BB52" i="32"/>
  <c r="BB59" i="32"/>
  <c r="BC46" i="32"/>
  <c r="BB60" i="32"/>
  <c r="BB53" i="32"/>
  <c r="BC44" i="32"/>
  <c r="BB58" i="32"/>
  <c r="BB51" i="32"/>
  <c r="BC48" i="32"/>
  <c r="BB62" i="32"/>
  <c r="BB55" i="32"/>
  <c r="BC49" i="32"/>
  <c r="BB56" i="32"/>
  <c r="BB63" i="32"/>
  <c r="BC47" i="32"/>
  <c r="BB61" i="32"/>
  <c r="BB54" i="32"/>
  <c r="BI219" i="17"/>
  <c r="BE219" i="17"/>
  <c r="BA219" i="17"/>
  <c r="AW219" i="17"/>
  <c r="AS219" i="17"/>
  <c r="AO219" i="17"/>
  <c r="AK219" i="17"/>
  <c r="AG219" i="17"/>
  <c r="AC219" i="17"/>
  <c r="Y219" i="17"/>
  <c r="U219" i="17"/>
  <c r="BH219" i="17"/>
  <c r="BD219" i="17"/>
  <c r="AZ219" i="17"/>
  <c r="AV219" i="17"/>
  <c r="AR219" i="17"/>
  <c r="AN219" i="17"/>
  <c r="AJ219" i="17"/>
  <c r="AF219" i="17"/>
  <c r="AB219" i="17"/>
  <c r="X219" i="17"/>
  <c r="T219" i="17"/>
  <c r="BG219" i="17"/>
  <c r="BC219" i="17"/>
  <c r="AY219" i="17"/>
  <c r="AU219" i="17"/>
  <c r="AQ219" i="17"/>
  <c r="AM219" i="17"/>
  <c r="AI219" i="17"/>
  <c r="AE219" i="17"/>
  <c r="AA219" i="17"/>
  <c r="W219" i="17"/>
  <c r="BF219" i="17"/>
  <c r="AP219" i="17"/>
  <c r="Z219" i="17"/>
  <c r="S219" i="17"/>
  <c r="AX219" i="17"/>
  <c r="AH219" i="17"/>
  <c r="AT219" i="17"/>
  <c r="AD219" i="17"/>
  <c r="BB219" i="17"/>
  <c r="AL219" i="17"/>
  <c r="V219" i="17"/>
  <c r="BG220" i="17"/>
  <c r="BC220" i="17"/>
  <c r="AY220" i="17"/>
  <c r="AU220" i="17"/>
  <c r="AQ220" i="17"/>
  <c r="AM220" i="17"/>
  <c r="AI220" i="17"/>
  <c r="AE220" i="17"/>
  <c r="AA220" i="17"/>
  <c r="W220" i="17"/>
  <c r="BD220" i="17"/>
  <c r="AV220" i="17"/>
  <c r="AR220" i="17"/>
  <c r="AF220" i="17"/>
  <c r="X220" i="17"/>
  <c r="T220" i="17"/>
  <c r="BF220" i="17"/>
  <c r="BB220" i="17"/>
  <c r="AX220" i="17"/>
  <c r="AT220" i="17"/>
  <c r="AP220" i="17"/>
  <c r="AL220" i="17"/>
  <c r="AH220" i="17"/>
  <c r="AD220" i="17"/>
  <c r="Z220" i="17"/>
  <c r="V220" i="17"/>
  <c r="BI220" i="17"/>
  <c r="BE220" i="17"/>
  <c r="BA220" i="17"/>
  <c r="AW220" i="17"/>
  <c r="AS220" i="17"/>
  <c r="AO220" i="17"/>
  <c r="AK220" i="17"/>
  <c r="AG220" i="17"/>
  <c r="AC220" i="17"/>
  <c r="Y220" i="17"/>
  <c r="U220" i="17"/>
  <c r="S220" i="17"/>
  <c r="BH220" i="17"/>
  <c r="AZ220" i="17"/>
  <c r="AN220" i="17"/>
  <c r="AJ220" i="17"/>
  <c r="AB220" i="17"/>
  <c r="BI215" i="17"/>
  <c r="BE215" i="17"/>
  <c r="BA215" i="17"/>
  <c r="AW215" i="17"/>
  <c r="AS215" i="17"/>
  <c r="AO215" i="17"/>
  <c r="AK215" i="17"/>
  <c r="AG215" i="17"/>
  <c r="AC215" i="17"/>
  <c r="Y215" i="17"/>
  <c r="U215" i="17"/>
  <c r="BH215" i="17"/>
  <c r="BD215" i="17"/>
  <c r="AZ215" i="17"/>
  <c r="AV215" i="17"/>
  <c r="AR215" i="17"/>
  <c r="AN215" i="17"/>
  <c r="AJ215" i="17"/>
  <c r="AF215" i="17"/>
  <c r="AB215" i="17"/>
  <c r="X215" i="17"/>
  <c r="T215" i="17"/>
  <c r="BG215" i="17"/>
  <c r="BC215" i="17"/>
  <c r="AY215" i="17"/>
  <c r="AU215" i="17"/>
  <c r="AQ215" i="17"/>
  <c r="AM215" i="17"/>
  <c r="AI215" i="17"/>
  <c r="AE215" i="17"/>
  <c r="AA215" i="17"/>
  <c r="W215" i="17"/>
  <c r="AX215" i="17"/>
  <c r="AH215" i="17"/>
  <c r="AP215" i="17"/>
  <c r="BB215" i="17"/>
  <c r="V215" i="17"/>
  <c r="AT215" i="17"/>
  <c r="AD215" i="17"/>
  <c r="S215" i="17"/>
  <c r="BF215" i="17"/>
  <c r="Z215" i="17"/>
  <c r="AL215" i="17"/>
  <c r="BI217" i="17"/>
  <c r="BE217" i="17"/>
  <c r="BA217" i="17"/>
  <c r="AW217" i="17"/>
  <c r="AS217" i="17"/>
  <c r="AO217" i="17"/>
  <c r="AK217" i="17"/>
  <c r="AG217" i="17"/>
  <c r="AC217" i="17"/>
  <c r="Y217" i="17"/>
  <c r="U217" i="17"/>
  <c r="BH217" i="17"/>
  <c r="BD217" i="17"/>
  <c r="AZ217" i="17"/>
  <c r="AV217" i="17"/>
  <c r="AR217" i="17"/>
  <c r="AN217" i="17"/>
  <c r="AJ217" i="17"/>
  <c r="AF217" i="17"/>
  <c r="AB217" i="17"/>
  <c r="X217" i="17"/>
  <c r="T217" i="17"/>
  <c r="S217" i="17"/>
  <c r="BG217" i="17"/>
  <c r="BC217" i="17"/>
  <c r="AY217" i="17"/>
  <c r="AU217" i="17"/>
  <c r="AQ217" i="17"/>
  <c r="AM217" i="17"/>
  <c r="AI217" i="17"/>
  <c r="AE217" i="17"/>
  <c r="AA217" i="17"/>
  <c r="W217" i="17"/>
  <c r="AT217" i="17"/>
  <c r="AD217" i="17"/>
  <c r="AL217" i="17"/>
  <c r="V217" i="17"/>
  <c r="AH217" i="17"/>
  <c r="BF217" i="17"/>
  <c r="AP217" i="17"/>
  <c r="Z217" i="17"/>
  <c r="BB217" i="17"/>
  <c r="AX217" i="17"/>
  <c r="BG216" i="17"/>
  <c r="BC216" i="17"/>
  <c r="AY216" i="17"/>
  <c r="AU216" i="17"/>
  <c r="AQ216" i="17"/>
  <c r="AM216" i="17"/>
  <c r="AI216" i="17"/>
  <c r="AE216" i="17"/>
  <c r="AA216" i="17"/>
  <c r="W216" i="17"/>
  <c r="BF216" i="17"/>
  <c r="BB216" i="17"/>
  <c r="AX216" i="17"/>
  <c r="AT216" i="17"/>
  <c r="AP216" i="17"/>
  <c r="AL216" i="17"/>
  <c r="AH216" i="17"/>
  <c r="AD216" i="17"/>
  <c r="Z216" i="17"/>
  <c r="V216" i="17"/>
  <c r="BI216" i="17"/>
  <c r="BE216" i="17"/>
  <c r="BA216" i="17"/>
  <c r="AW216" i="17"/>
  <c r="AS216" i="17"/>
  <c r="AO216" i="17"/>
  <c r="AK216" i="17"/>
  <c r="AG216" i="17"/>
  <c r="AC216" i="17"/>
  <c r="Y216" i="17"/>
  <c r="U216" i="17"/>
  <c r="S216" i="17"/>
  <c r="BD216" i="17"/>
  <c r="AN216" i="17"/>
  <c r="X216" i="17"/>
  <c r="AF216" i="17"/>
  <c r="AR216" i="17"/>
  <c r="AZ216" i="17"/>
  <c r="AJ216" i="17"/>
  <c r="T216" i="17"/>
  <c r="AV216" i="17"/>
  <c r="BH216" i="17"/>
  <c r="AB216" i="17"/>
  <c r="U9" i="13"/>
  <c r="AF101" i="17"/>
  <c r="AF107" i="17" s="1"/>
  <c r="V101" i="17"/>
  <c r="AK101" i="17"/>
  <c r="AK107" i="17" s="1"/>
  <c r="AA101" i="17"/>
  <c r="AA107" i="17" s="1"/>
  <c r="AJ101" i="17"/>
  <c r="AJ107" i="17" s="1"/>
  <c r="AO101" i="17"/>
  <c r="AO107" i="17" s="1"/>
  <c r="U116" i="17"/>
  <c r="AT101" i="17"/>
  <c r="AT107" i="17" s="1"/>
  <c r="Z101" i="17"/>
  <c r="Z107" i="17" s="1"/>
  <c r="AZ101" i="17"/>
  <c r="AZ107" i="17" s="1"/>
  <c r="AY101" i="17"/>
  <c r="AY107" i="17" s="1"/>
  <c r="AE101" i="17"/>
  <c r="AE107" i="17" s="1"/>
  <c r="AP101" i="17"/>
  <c r="AP107" i="17" s="1"/>
  <c r="AQ7" i="13"/>
  <c r="AP100" i="17"/>
  <c r="AU101" i="17"/>
  <c r="AU107" i="17" s="1"/>
  <c r="AU100" i="17"/>
  <c r="AV7" i="13"/>
  <c r="AB101" i="17"/>
  <c r="AB107" i="17" s="1"/>
  <c r="AB100" i="17"/>
  <c r="AC7" i="13"/>
  <c r="AG101" i="17"/>
  <c r="AG107" i="17" s="1"/>
  <c r="AH7" i="13"/>
  <c r="AG100" i="17"/>
  <c r="AL100" i="17"/>
  <c r="AM7" i="13"/>
  <c r="AL101" i="17"/>
  <c r="S101" i="17"/>
  <c r="T7" i="13"/>
  <c r="S100" i="17"/>
  <c r="W101" i="17"/>
  <c r="W107" i="17" s="1"/>
  <c r="H40" i="28" s="1"/>
  <c r="X7" i="13"/>
  <c r="W100" i="17"/>
  <c r="BA101" i="17"/>
  <c r="BA107" i="17" s="1"/>
  <c r="BB99" i="17"/>
  <c r="BB7" i="13" s="1"/>
  <c r="BA100" i="17"/>
  <c r="Z237" i="17" l="1"/>
  <c r="Z239" i="17"/>
  <c r="W239" i="17"/>
  <c r="W237" i="17"/>
  <c r="AP237" i="17"/>
  <c r="AP239" i="17"/>
  <c r="AL237" i="17"/>
  <c r="AL239" i="17"/>
  <c r="AA239" i="17"/>
  <c r="AA237" i="17"/>
  <c r="AB239" i="17"/>
  <c r="AB237" i="17"/>
  <c r="AG237" i="17"/>
  <c r="AG239" i="17"/>
  <c r="AE239" i="17"/>
  <c r="AE237" i="17"/>
  <c r="AU239" i="17"/>
  <c r="AU237" i="17"/>
  <c r="AF239" i="17"/>
  <c r="AF237" i="17"/>
  <c r="U237" i="17"/>
  <c r="U239" i="17"/>
  <c r="AK237" i="17"/>
  <c r="AK239" i="17"/>
  <c r="BA237" i="17"/>
  <c r="BA239" i="17"/>
  <c r="V237" i="17"/>
  <c r="V239" i="17"/>
  <c r="AT237" i="17"/>
  <c r="AT239" i="17"/>
  <c r="AY239" i="17"/>
  <c r="AY237" i="17"/>
  <c r="AJ239" i="17"/>
  <c r="AJ237" i="17"/>
  <c r="AZ239" i="17"/>
  <c r="AZ237" i="17"/>
  <c r="AO237" i="17"/>
  <c r="AO239" i="17"/>
  <c r="S106" i="17"/>
  <c r="S107" i="17"/>
  <c r="D40" i="28" s="1"/>
  <c r="AL106" i="17"/>
  <c r="AL107" i="17"/>
  <c r="V106" i="17"/>
  <c r="V107" i="17"/>
  <c r="G40" i="28" s="1"/>
  <c r="W91" i="17"/>
  <c r="AU106" i="17"/>
  <c r="BD47" i="32"/>
  <c r="BC61" i="32"/>
  <c r="BC54" i="32"/>
  <c r="BD46" i="32"/>
  <c r="BC60" i="32"/>
  <c r="BC53" i="32"/>
  <c r="BD44" i="32"/>
  <c r="BC58" i="32"/>
  <c r="BC51" i="32"/>
  <c r="BD48" i="32"/>
  <c r="BC62" i="32"/>
  <c r="BC55" i="32"/>
  <c r="BD49" i="32"/>
  <c r="BC63" i="32"/>
  <c r="BC56" i="32"/>
  <c r="BD45" i="32"/>
  <c r="BC59" i="32"/>
  <c r="BC52" i="32"/>
  <c r="W106" i="17"/>
  <c r="AG106" i="17"/>
  <c r="AA106" i="17"/>
  <c r="AP106" i="17"/>
  <c r="BA106" i="17"/>
  <c r="AZ106" i="17"/>
  <c r="AF106" i="17"/>
  <c r="AB106" i="17"/>
  <c r="AK106" i="17"/>
  <c r="U180" i="13"/>
  <c r="U181" i="13"/>
  <c r="U182" i="13"/>
  <c r="U179" i="13"/>
  <c r="U176" i="13"/>
  <c r="U173" i="13"/>
  <c r="U174" i="13"/>
  <c r="U175" i="13"/>
  <c r="S9" i="13"/>
  <c r="W9" i="13"/>
  <c r="BA9" i="13"/>
  <c r="AG9" i="13"/>
  <c r="AZ9" i="13"/>
  <c r="AO9" i="13"/>
  <c r="V9" i="13"/>
  <c r="AP9" i="13"/>
  <c r="Z9" i="13"/>
  <c r="AJ9" i="13"/>
  <c r="AF9" i="13"/>
  <c r="AL9" i="13"/>
  <c r="AB9" i="13"/>
  <c r="AY9" i="13"/>
  <c r="AK9" i="13"/>
  <c r="AU9" i="13"/>
  <c r="AT9" i="13"/>
  <c r="AA9" i="13"/>
  <c r="AZ116" i="17"/>
  <c r="AJ116" i="17"/>
  <c r="AF116" i="17"/>
  <c r="V116" i="17"/>
  <c r="AA116" i="17"/>
  <c r="AY116" i="17"/>
  <c r="AT116" i="17"/>
  <c r="AK116" i="17"/>
  <c r="AO116" i="17"/>
  <c r="Z116" i="17"/>
  <c r="AE9" i="13"/>
  <c r="AE116" i="17"/>
  <c r="AP116" i="17"/>
  <c r="AU116" i="17"/>
  <c r="AQ100" i="17"/>
  <c r="AR7" i="13"/>
  <c r="AQ101" i="17"/>
  <c r="AQ239" i="17" s="1"/>
  <c r="AV100" i="17"/>
  <c r="AW7" i="13"/>
  <c r="AV101" i="17"/>
  <c r="AV239" i="17" s="1"/>
  <c r="AB116" i="17"/>
  <c r="W116" i="17"/>
  <c r="AL116" i="17"/>
  <c r="AG116" i="17"/>
  <c r="BA116" i="17"/>
  <c r="AM101" i="17"/>
  <c r="AM239" i="17" s="1"/>
  <c r="AN7" i="13"/>
  <c r="AM100" i="17"/>
  <c r="AC101" i="17"/>
  <c r="AC237" i="17" s="1"/>
  <c r="AD7" i="13"/>
  <c r="AC100" i="17"/>
  <c r="T101" i="17"/>
  <c r="T107" i="17" s="1"/>
  <c r="E40" i="28" s="1"/>
  <c r="T100" i="17"/>
  <c r="U100" i="17"/>
  <c r="BB100" i="17"/>
  <c r="BB101" i="17"/>
  <c r="BB237" i="17" s="1"/>
  <c r="BC99" i="17"/>
  <c r="BC7" i="13" s="1"/>
  <c r="X101" i="17"/>
  <c r="X239" i="17" s="1"/>
  <c r="X100" i="17"/>
  <c r="Y7" i="13"/>
  <c r="AH100" i="17"/>
  <c r="AI7" i="13"/>
  <c r="AH101" i="17"/>
  <c r="AH237" i="17" s="1"/>
  <c r="AM237" i="17" l="1"/>
  <c r="AC239" i="17"/>
  <c r="BB239" i="17"/>
  <c r="AV237" i="17"/>
  <c r="AH239" i="17"/>
  <c r="AQ237" i="17"/>
  <c r="X237" i="17"/>
  <c r="T239" i="17"/>
  <c r="AC106" i="17"/>
  <c r="AC107" i="17"/>
  <c r="AQ106" i="17"/>
  <c r="AQ107" i="17"/>
  <c r="BB106" i="17"/>
  <c r="BB107" i="17"/>
  <c r="AV106" i="17"/>
  <c r="AV107" i="17"/>
  <c r="AH106" i="17"/>
  <c r="AH107" i="17"/>
  <c r="X106" i="17"/>
  <c r="X107" i="17"/>
  <c r="I40" i="28" s="1"/>
  <c r="AM106" i="17"/>
  <c r="AM107" i="17"/>
  <c r="X91" i="17"/>
  <c r="BE45" i="32"/>
  <c r="BD59" i="32"/>
  <c r="BD52" i="32"/>
  <c r="BE46" i="32"/>
  <c r="BD60" i="32"/>
  <c r="BD53" i="32"/>
  <c r="BE44" i="32"/>
  <c r="BD58" i="32"/>
  <c r="BD51" i="32"/>
  <c r="BE48" i="32"/>
  <c r="BD55" i="32"/>
  <c r="BD62" i="32"/>
  <c r="BE49" i="32"/>
  <c r="BD63" i="32"/>
  <c r="BD56" i="32"/>
  <c r="BE47" i="32"/>
  <c r="BD61" i="32"/>
  <c r="BD54" i="32"/>
  <c r="T106" i="17"/>
  <c r="U106" i="17"/>
  <c r="AK182" i="13"/>
  <c r="AK181" i="13"/>
  <c r="AK180" i="13"/>
  <c r="AK179" i="13"/>
  <c r="AK173" i="13"/>
  <c r="AK175" i="13"/>
  <c r="AK174" i="13"/>
  <c r="AK176" i="13"/>
  <c r="AF179" i="13"/>
  <c r="AF182" i="13"/>
  <c r="AF181" i="13"/>
  <c r="AF180" i="13"/>
  <c r="AF176" i="13"/>
  <c r="AF173" i="13"/>
  <c r="AF174" i="13"/>
  <c r="AF175" i="13"/>
  <c r="V179" i="13"/>
  <c r="V182" i="13"/>
  <c r="V180" i="13"/>
  <c r="V181" i="13"/>
  <c r="V176" i="13"/>
  <c r="V173" i="13"/>
  <c r="V175" i="13"/>
  <c r="V174" i="13"/>
  <c r="BA182" i="13"/>
  <c r="BA181" i="13"/>
  <c r="BA179" i="13"/>
  <c r="BA180" i="13"/>
  <c r="BA175" i="13"/>
  <c r="BA176" i="13"/>
  <c r="BA173" i="13"/>
  <c r="BA174" i="13"/>
  <c r="AA179" i="13"/>
  <c r="AA182" i="13"/>
  <c r="AA181" i="13"/>
  <c r="AA180" i="13"/>
  <c r="AA173" i="13"/>
  <c r="AA174" i="13"/>
  <c r="AA175" i="13"/>
  <c r="AA176" i="13"/>
  <c r="AY180" i="13"/>
  <c r="AY182" i="13"/>
  <c r="AY179" i="13"/>
  <c r="AY181" i="13"/>
  <c r="AY174" i="13"/>
  <c r="AY176" i="13"/>
  <c r="AY173" i="13"/>
  <c r="AY175" i="13"/>
  <c r="AJ181" i="13"/>
  <c r="AJ179" i="13"/>
  <c r="AJ182" i="13"/>
  <c r="AJ180" i="13"/>
  <c r="AJ174" i="13"/>
  <c r="AJ176" i="13"/>
  <c r="AJ173" i="13"/>
  <c r="AJ175" i="13"/>
  <c r="AO181" i="13"/>
  <c r="AO182" i="13"/>
  <c r="AO180" i="13"/>
  <c r="AO179" i="13"/>
  <c r="AO173" i="13"/>
  <c r="AO174" i="13"/>
  <c r="AO176" i="13"/>
  <c r="AO175" i="13"/>
  <c r="W181" i="13"/>
  <c r="W182" i="13"/>
  <c r="W180" i="13"/>
  <c r="W179" i="13"/>
  <c r="W176" i="13"/>
  <c r="W173" i="13"/>
  <c r="W175" i="13"/>
  <c r="W174" i="13"/>
  <c r="AE179" i="13"/>
  <c r="AE182" i="13"/>
  <c r="AE180" i="13"/>
  <c r="AE181" i="13"/>
  <c r="AE175" i="13"/>
  <c r="AE176" i="13"/>
  <c r="AE174" i="13"/>
  <c r="AE173" i="13"/>
  <c r="AT182" i="13"/>
  <c r="AT181" i="13"/>
  <c r="AT179" i="13"/>
  <c r="AT180" i="13"/>
  <c r="AT173" i="13"/>
  <c r="AT176" i="13"/>
  <c r="AT175" i="13"/>
  <c r="AT174" i="13"/>
  <c r="AB179" i="13"/>
  <c r="AB181" i="13"/>
  <c r="AB182" i="13"/>
  <c r="AB180" i="13"/>
  <c r="AB174" i="13"/>
  <c r="AB176" i="13"/>
  <c r="AB173" i="13"/>
  <c r="AB175" i="13"/>
  <c r="Z180" i="13"/>
  <c r="Z181" i="13"/>
  <c r="Z182" i="13"/>
  <c r="Z179" i="13"/>
  <c r="Z176" i="13"/>
  <c r="Z175" i="13"/>
  <c r="Z174" i="13"/>
  <c r="Z173" i="13"/>
  <c r="AZ182" i="13"/>
  <c r="AZ181" i="13"/>
  <c r="AZ179" i="13"/>
  <c r="AZ180" i="13"/>
  <c r="AZ175" i="13"/>
  <c r="AZ176" i="13"/>
  <c r="AZ173" i="13"/>
  <c r="AZ174" i="13"/>
  <c r="AU182" i="13"/>
  <c r="AU181" i="13"/>
  <c r="AU179" i="13"/>
  <c r="AU180" i="13"/>
  <c r="AU173" i="13"/>
  <c r="AU176" i="13"/>
  <c r="AU175" i="13"/>
  <c r="AU174" i="13"/>
  <c r="AL179" i="13"/>
  <c r="AL180" i="13"/>
  <c r="AL182" i="13"/>
  <c r="AL181" i="13"/>
  <c r="AL173" i="13"/>
  <c r="AL176" i="13"/>
  <c r="AL175" i="13"/>
  <c r="AL174" i="13"/>
  <c r="AP181" i="13"/>
  <c r="AP180" i="13"/>
  <c r="AP179" i="13"/>
  <c r="AP182" i="13"/>
  <c r="AP173" i="13"/>
  <c r="AP174" i="13"/>
  <c r="AP175" i="13"/>
  <c r="AP176" i="13"/>
  <c r="AG179" i="13"/>
  <c r="AG180" i="13"/>
  <c r="AG182" i="13"/>
  <c r="AG181" i="13"/>
  <c r="AG173" i="13"/>
  <c r="AG174" i="13"/>
  <c r="AG175" i="13"/>
  <c r="AG176" i="13"/>
  <c r="T237" i="17"/>
  <c r="AM9" i="13"/>
  <c r="AC9" i="13"/>
  <c r="AQ9" i="13"/>
  <c r="BB9" i="13"/>
  <c r="X9" i="13"/>
  <c r="AV9" i="13"/>
  <c r="AH9" i="13"/>
  <c r="AX7" i="13"/>
  <c r="AS7" i="13"/>
  <c r="AR100" i="17"/>
  <c r="AW101" i="17"/>
  <c r="AR101" i="17"/>
  <c r="AQ116" i="17"/>
  <c r="T9" i="13"/>
  <c r="AW100" i="17"/>
  <c r="AV116" i="17"/>
  <c r="BB116" i="17"/>
  <c r="T116" i="17"/>
  <c r="AM116" i="17"/>
  <c r="AH116" i="17"/>
  <c r="X116" i="17"/>
  <c r="AC116" i="17"/>
  <c r="AI101" i="17"/>
  <c r="AI100" i="17"/>
  <c r="AJ100" i="17"/>
  <c r="BC101" i="17"/>
  <c r="BD99" i="17"/>
  <c r="BD7" i="13" s="1"/>
  <c r="BC100" i="17"/>
  <c r="AN101" i="17"/>
  <c r="AN100" i="17"/>
  <c r="AO100" i="17"/>
  <c r="AX100" i="17"/>
  <c r="Y101" i="17"/>
  <c r="Y100" i="17"/>
  <c r="Z100" i="17"/>
  <c r="AD100" i="17"/>
  <c r="AD101" i="17"/>
  <c r="AE100" i="17"/>
  <c r="N50" i="28" l="1"/>
  <c r="M50" i="28"/>
  <c r="I50" i="28"/>
  <c r="D50" i="28"/>
  <c r="P50" i="28"/>
  <c r="B50" i="28"/>
  <c r="O50" i="28"/>
  <c r="E50" i="28"/>
  <c r="F50" i="28"/>
  <c r="L50" i="28"/>
  <c r="H50" i="28"/>
  <c r="C50" i="28"/>
  <c r="K50" i="28"/>
  <c r="G50" i="28"/>
  <c r="J50" i="28"/>
  <c r="Q50" i="28"/>
  <c r="AW237" i="17"/>
  <c r="AW239" i="17"/>
  <c r="AD107" i="17"/>
  <c r="AD239" i="17"/>
  <c r="AD237" i="17"/>
  <c r="Y107" i="17"/>
  <c r="Y237" i="17"/>
  <c r="Y239" i="17"/>
  <c r="AN107" i="17"/>
  <c r="AN239" i="17"/>
  <c r="AN237" i="17"/>
  <c r="AI107" i="17"/>
  <c r="AI239" i="17"/>
  <c r="AI237" i="17"/>
  <c r="BC239" i="17"/>
  <c r="BC237" i="17"/>
  <c r="AR237" i="17"/>
  <c r="AR239" i="17"/>
  <c r="AR106" i="17"/>
  <c r="AR107" i="17"/>
  <c r="AW106" i="17"/>
  <c r="AW107" i="17"/>
  <c r="BC106" i="17"/>
  <c r="BC107" i="17"/>
  <c r="Y91" i="17"/>
  <c r="BF47" i="32"/>
  <c r="BE61" i="32"/>
  <c r="BE54" i="32"/>
  <c r="BF46" i="32"/>
  <c r="BE60" i="32"/>
  <c r="BE53" i="32"/>
  <c r="BF44" i="32"/>
  <c r="BE58" i="32"/>
  <c r="BE51" i="32"/>
  <c r="BF48" i="32"/>
  <c r="BE62" i="32"/>
  <c r="BE55" i="32"/>
  <c r="BF49" i="32"/>
  <c r="BE63" i="32"/>
  <c r="BE56" i="32"/>
  <c r="BF45" i="32"/>
  <c r="BE59" i="32"/>
  <c r="BE52" i="32"/>
  <c r="C93" i="28"/>
  <c r="D93" i="28" s="1"/>
  <c r="E93" i="28" s="1"/>
  <c r="AN106" i="17"/>
  <c r="AO106" i="17"/>
  <c r="AD106" i="17"/>
  <c r="AE106" i="17"/>
  <c r="Y106" i="17"/>
  <c r="Z106" i="17"/>
  <c r="AI106" i="17"/>
  <c r="AJ106" i="17"/>
  <c r="C86" i="28"/>
  <c r="D86" i="28" s="1"/>
  <c r="E86" i="28" s="1"/>
  <c r="C96" i="28"/>
  <c r="D96" i="28" s="1"/>
  <c r="E96" i="28" s="1"/>
  <c r="BB179" i="13"/>
  <c r="BB181" i="13"/>
  <c r="BB182" i="13"/>
  <c r="BB180" i="13"/>
  <c r="BB175" i="13"/>
  <c r="BB174" i="13"/>
  <c r="BB173" i="13"/>
  <c r="BB176" i="13"/>
  <c r="AH181" i="13"/>
  <c r="AH179" i="13"/>
  <c r="AH182" i="13"/>
  <c r="AH180" i="13"/>
  <c r="AH175" i="13"/>
  <c r="AH176" i="13"/>
  <c r="AH173" i="13"/>
  <c r="AH174" i="13"/>
  <c r="AQ180" i="13"/>
  <c r="AQ181" i="13"/>
  <c r="AQ179" i="13"/>
  <c r="AQ182" i="13"/>
  <c r="AQ173" i="13"/>
  <c r="AQ176" i="13"/>
  <c r="AQ175" i="13"/>
  <c r="AQ174" i="13"/>
  <c r="T180" i="13"/>
  <c r="T179" i="13"/>
  <c r="T181" i="13"/>
  <c r="T182" i="13"/>
  <c r="T176" i="13"/>
  <c r="T174" i="13"/>
  <c r="T173" i="13"/>
  <c r="T175" i="13"/>
  <c r="AV180" i="13"/>
  <c r="AV179" i="13"/>
  <c r="AV182" i="13"/>
  <c r="AV181" i="13"/>
  <c r="AV174" i="13"/>
  <c r="AV173" i="13"/>
  <c r="AV176" i="13"/>
  <c r="AV175" i="13"/>
  <c r="AC182" i="13"/>
  <c r="AC179" i="13"/>
  <c r="AC180" i="13"/>
  <c r="AC181" i="13"/>
  <c r="AC173" i="13"/>
  <c r="AC176" i="13"/>
  <c r="AC174" i="13"/>
  <c r="AC175" i="13"/>
  <c r="X181" i="13"/>
  <c r="X180" i="13"/>
  <c r="X182" i="13"/>
  <c r="X179" i="13"/>
  <c r="X173" i="13"/>
  <c r="X174" i="13"/>
  <c r="X176" i="13"/>
  <c r="X175" i="13"/>
  <c r="AM182" i="13"/>
  <c r="AM180" i="13"/>
  <c r="AM181" i="13"/>
  <c r="AM179" i="13"/>
  <c r="AM174" i="13"/>
  <c r="AM173" i="13"/>
  <c r="AM175" i="13"/>
  <c r="AM176" i="13"/>
  <c r="AX101" i="17"/>
  <c r="AN9" i="13"/>
  <c r="AR9" i="13"/>
  <c r="AI9" i="13"/>
  <c r="AW9" i="13"/>
  <c r="AD9" i="13"/>
  <c r="Y9" i="13"/>
  <c r="BC9" i="13"/>
  <c r="AS101" i="17"/>
  <c r="AY100" i="17"/>
  <c r="AT100" i="17"/>
  <c r="AS100" i="17"/>
  <c r="AW116" i="17"/>
  <c r="AR116" i="17"/>
  <c r="AN116" i="17"/>
  <c r="AD116" i="17"/>
  <c r="BC116" i="17"/>
  <c r="Y116" i="17"/>
  <c r="AI116" i="17"/>
  <c r="BD101" i="17"/>
  <c r="BD100" i="17"/>
  <c r="BE99" i="17"/>
  <c r="BE7" i="13" s="1"/>
  <c r="AS107" i="17" l="1"/>
  <c r="AS237" i="17"/>
  <c r="AS239" i="17"/>
  <c r="AX107" i="17"/>
  <c r="AX237" i="17"/>
  <c r="AX239" i="17"/>
  <c r="BD237" i="17"/>
  <c r="BD239" i="17"/>
  <c r="F93" i="28"/>
  <c r="G93" i="28" s="1"/>
  <c r="H93" i="28" s="1"/>
  <c r="I93" i="28" s="1"/>
  <c r="J93" i="28" s="1"/>
  <c r="K93" i="28" s="1"/>
  <c r="L93" i="28" s="1"/>
  <c r="M93" i="28" s="1"/>
  <c r="N93" i="28" s="1"/>
  <c r="O93" i="28" s="1"/>
  <c r="P93" i="28" s="1"/>
  <c r="Q93" i="28" s="1"/>
  <c r="BD106" i="17"/>
  <c r="BD107" i="17"/>
  <c r="Z91" i="17"/>
  <c r="BG45" i="32"/>
  <c r="BF59" i="32"/>
  <c r="BF52" i="32"/>
  <c r="BG46" i="32"/>
  <c r="BF60" i="32"/>
  <c r="BF53" i="32"/>
  <c r="BG44" i="32"/>
  <c r="BF58" i="32"/>
  <c r="BF51" i="32"/>
  <c r="BG48" i="32"/>
  <c r="BF62" i="32"/>
  <c r="BF55" i="32"/>
  <c r="BG49" i="32"/>
  <c r="BF63" i="32"/>
  <c r="BF56" i="32"/>
  <c r="BG47" i="32"/>
  <c r="BF61" i="32"/>
  <c r="BF54" i="32"/>
  <c r="F86" i="28"/>
  <c r="G86" i="28" s="1"/>
  <c r="H86" i="28" s="1"/>
  <c r="I86" i="28" s="1"/>
  <c r="J86" i="28" s="1"/>
  <c r="K86" i="28" s="1"/>
  <c r="L86" i="28" s="1"/>
  <c r="M86" i="28" s="1"/>
  <c r="N86" i="28" s="1"/>
  <c r="O86" i="28" s="1"/>
  <c r="P86" i="28" s="1"/>
  <c r="Q86" i="28" s="1"/>
  <c r="F96" i="28"/>
  <c r="G96" i="28" s="1"/>
  <c r="H96" i="28" s="1"/>
  <c r="I96" i="28" s="1"/>
  <c r="J96" i="28" s="1"/>
  <c r="K96" i="28" s="1"/>
  <c r="L96" i="28" s="1"/>
  <c r="M96" i="28" s="1"/>
  <c r="N96" i="28" s="1"/>
  <c r="O96" i="28" s="1"/>
  <c r="P96" i="28" s="1"/>
  <c r="Q96" i="28" s="1"/>
  <c r="AX9" i="13"/>
  <c r="AX181" i="13" s="1"/>
  <c r="AX106" i="17"/>
  <c r="AY106" i="17"/>
  <c r="AS106" i="17"/>
  <c r="AT106" i="17"/>
  <c r="AW182" i="13"/>
  <c r="AW179" i="13"/>
  <c r="AW180" i="13"/>
  <c r="AW181" i="13"/>
  <c r="AW175" i="13"/>
  <c r="AW176" i="13"/>
  <c r="AW173" i="13"/>
  <c r="AW174" i="13"/>
  <c r="AD179" i="13"/>
  <c r="AD182" i="13"/>
  <c r="AD181" i="13"/>
  <c r="AD180" i="13"/>
  <c r="AD174" i="13"/>
  <c r="AD175" i="13"/>
  <c r="AD173" i="13"/>
  <c r="AD176" i="13"/>
  <c r="AN180" i="13"/>
  <c r="AN179" i="13"/>
  <c r="AN181" i="13"/>
  <c r="AN182" i="13"/>
  <c r="AN174" i="13"/>
  <c r="AN173" i="13"/>
  <c r="AN175" i="13"/>
  <c r="AN176" i="13"/>
  <c r="BC182" i="13"/>
  <c r="BC180" i="13"/>
  <c r="BC179" i="13"/>
  <c r="BC181" i="13"/>
  <c r="BC174" i="13"/>
  <c r="BC173" i="13"/>
  <c r="BC175" i="13"/>
  <c r="BC176" i="13"/>
  <c r="AI180" i="13"/>
  <c r="AI179" i="13"/>
  <c r="AI182" i="13"/>
  <c r="AI181" i="13"/>
  <c r="AI175" i="13"/>
  <c r="AI173" i="13"/>
  <c r="AI174" i="13"/>
  <c r="AI176" i="13"/>
  <c r="Y180" i="13"/>
  <c r="Y181" i="13"/>
  <c r="Y182" i="13"/>
  <c r="Y179" i="13"/>
  <c r="Y175" i="13"/>
  <c r="Y173" i="13"/>
  <c r="Y174" i="13"/>
  <c r="Y176" i="13"/>
  <c r="AR181" i="13"/>
  <c r="AR182" i="13"/>
  <c r="AR180" i="13"/>
  <c r="AR179" i="13"/>
  <c r="AR173" i="13"/>
  <c r="AR174" i="13"/>
  <c r="AR176" i="13"/>
  <c r="AR175" i="13"/>
  <c r="AX116" i="17"/>
  <c r="AS116" i="17"/>
  <c r="BD9" i="13"/>
  <c r="AS9" i="13"/>
  <c r="BD116" i="17"/>
  <c r="BE101" i="17"/>
  <c r="BF99" i="17"/>
  <c r="BF7" i="13" s="1"/>
  <c r="BE100" i="17"/>
  <c r="BE237" i="17" l="1"/>
  <c r="BE239" i="17"/>
  <c r="BE106" i="17"/>
  <c r="BE107" i="17"/>
  <c r="AA91" i="17"/>
  <c r="BH47" i="32"/>
  <c r="BG61" i="32"/>
  <c r="BG54" i="32"/>
  <c r="BH46" i="32"/>
  <c r="BG60" i="32"/>
  <c r="BG53" i="32"/>
  <c r="BH44" i="32"/>
  <c r="BG58" i="32"/>
  <c r="BG51" i="32"/>
  <c r="BH48" i="32"/>
  <c r="BG62" i="32"/>
  <c r="BG55" i="32"/>
  <c r="BH49" i="32"/>
  <c r="BG63" i="32"/>
  <c r="BG56" i="32"/>
  <c r="BH45" i="32"/>
  <c r="BG59" i="32"/>
  <c r="BG52" i="32"/>
  <c r="AX173" i="13"/>
  <c r="AX180" i="13"/>
  <c r="AX176" i="13"/>
  <c r="AX182" i="13"/>
  <c r="AX175" i="13"/>
  <c r="AX179" i="13"/>
  <c r="AX174" i="13"/>
  <c r="AS179" i="13"/>
  <c r="AS181" i="13"/>
  <c r="AS182" i="13"/>
  <c r="AS180" i="13"/>
  <c r="AS176" i="13"/>
  <c r="AS175" i="13"/>
  <c r="AS173" i="13"/>
  <c r="AS174" i="13"/>
  <c r="BD179" i="13"/>
  <c r="BD182" i="13"/>
  <c r="BD181" i="13"/>
  <c r="BD180" i="13"/>
  <c r="BD173" i="13"/>
  <c r="BD174" i="13"/>
  <c r="BD175" i="13"/>
  <c r="BD176" i="13"/>
  <c r="BE9" i="13"/>
  <c r="BE116" i="17"/>
  <c r="BF100" i="17"/>
  <c r="BF101" i="17"/>
  <c r="BG99" i="17"/>
  <c r="BG7" i="13" s="1"/>
  <c r="BF237" i="17" l="1"/>
  <c r="BF239" i="17"/>
  <c r="BF106" i="17"/>
  <c r="BF107" i="17"/>
  <c r="AB91" i="17"/>
  <c r="BI45" i="32"/>
  <c r="BH59" i="32"/>
  <c r="BH52" i="32"/>
  <c r="BI46" i="32"/>
  <c r="BH53" i="32"/>
  <c r="BH60" i="32"/>
  <c r="BI44" i="32"/>
  <c r="BH58" i="32"/>
  <c r="BH51" i="32"/>
  <c r="BI48" i="32"/>
  <c r="BH55" i="32"/>
  <c r="BH62" i="32"/>
  <c r="BI49" i="32"/>
  <c r="BH63" i="32"/>
  <c r="BH56" i="32"/>
  <c r="BI47" i="32"/>
  <c r="BH61" i="32"/>
  <c r="BH54" i="32"/>
  <c r="BE181" i="13"/>
  <c r="BE182" i="13"/>
  <c r="BE180" i="13"/>
  <c r="BE179" i="13"/>
  <c r="BE173" i="13"/>
  <c r="BE175" i="13"/>
  <c r="BE174" i="13"/>
  <c r="BE176" i="13"/>
  <c r="BF9" i="13"/>
  <c r="BF116" i="17"/>
  <c r="BG101" i="17"/>
  <c r="BH99" i="17"/>
  <c r="BH7" i="13" s="1"/>
  <c r="BG100" i="17"/>
  <c r="BG239" i="17" l="1"/>
  <c r="BG237" i="17"/>
  <c r="BG106" i="17"/>
  <c r="BG107" i="17"/>
  <c r="AC91" i="17"/>
  <c r="BI61" i="32"/>
  <c r="BI54" i="32"/>
  <c r="BI60" i="32"/>
  <c r="BI53" i="32"/>
  <c r="BI58" i="32"/>
  <c r="BI51" i="32"/>
  <c r="BI62" i="32"/>
  <c r="BI55" i="32"/>
  <c r="BI63" i="32"/>
  <c r="BI56" i="32"/>
  <c r="BI59" i="32"/>
  <c r="BI52" i="32"/>
  <c r="BF179" i="13"/>
  <c r="BF181" i="13"/>
  <c r="BF180" i="13"/>
  <c r="BF182" i="13"/>
  <c r="BF176" i="13"/>
  <c r="BF173" i="13"/>
  <c r="BF175" i="13"/>
  <c r="BF174" i="13"/>
  <c r="BG9" i="13"/>
  <c r="BG116" i="17"/>
  <c r="BH101" i="17"/>
  <c r="BH100" i="17"/>
  <c r="BI99" i="17"/>
  <c r="BI7" i="13" s="1"/>
  <c r="BH239" i="17" l="1"/>
  <c r="BH237" i="17"/>
  <c r="BH106" i="17"/>
  <c r="BH107" i="17"/>
  <c r="AD91" i="17"/>
  <c r="BG181" i="13"/>
  <c r="BG180" i="13"/>
  <c r="BG179" i="13"/>
  <c r="BG182" i="13"/>
  <c r="BG175" i="13"/>
  <c r="BG176" i="13"/>
  <c r="BG173" i="13"/>
  <c r="BG174" i="13"/>
  <c r="BH9" i="13"/>
  <c r="BH116" i="17"/>
  <c r="BI101" i="17"/>
  <c r="BI100" i="17"/>
  <c r="BI237" i="17" l="1"/>
  <c r="BI239" i="17"/>
  <c r="BI106" i="17"/>
  <c r="BI107" i="17"/>
  <c r="AE91" i="17"/>
  <c r="BH181" i="13"/>
  <c r="BH179" i="13"/>
  <c r="BH182" i="13"/>
  <c r="BH180" i="13"/>
  <c r="BH175" i="13"/>
  <c r="BH176" i="13"/>
  <c r="BH173" i="13"/>
  <c r="BH174" i="13"/>
  <c r="BI9" i="13"/>
  <c r="BI116" i="17"/>
  <c r="AF91" i="17" l="1"/>
  <c r="BI179" i="13"/>
  <c r="BI182" i="13"/>
  <c r="BI181" i="13"/>
  <c r="BI180" i="13"/>
  <c r="BI175" i="13"/>
  <c r="BI176" i="13"/>
  <c r="BI174" i="13"/>
  <c r="BI173" i="13"/>
  <c r="A2" i="16"/>
  <c r="AG91" i="17" l="1"/>
  <c r="S21" i="14"/>
  <c r="S19" i="14"/>
  <c r="S36" i="14" s="1"/>
  <c r="AA35" i="14"/>
  <c r="Z35" i="14"/>
  <c r="Y35" i="14"/>
  <c r="AH91" i="17" l="1"/>
  <c r="T52" i="14"/>
  <c r="T10" i="19" s="1"/>
  <c r="AI91" i="17" l="1"/>
  <c r="T10" i="17"/>
  <c r="U24" i="14"/>
  <c r="U23" i="14"/>
  <c r="U22" i="14"/>
  <c r="U21" i="14"/>
  <c r="U19" i="14"/>
  <c r="T24" i="14"/>
  <c r="T23" i="14"/>
  <c r="T22" i="14"/>
  <c r="T21" i="14"/>
  <c r="T19" i="14"/>
  <c r="T36" i="14" s="1"/>
  <c r="AC9" i="14"/>
  <c r="AC14" i="14" s="1"/>
  <c r="AB9" i="14"/>
  <c r="AB14" i="14" s="1"/>
  <c r="Z9" i="14"/>
  <c r="Z14" i="14" s="1"/>
  <c r="Y9" i="14"/>
  <c r="Y14" i="14" s="1"/>
  <c r="W9" i="14"/>
  <c r="W14" i="14" s="1"/>
  <c r="V9" i="14"/>
  <c r="V14" i="14" s="1"/>
  <c r="T9" i="14"/>
  <c r="U20" i="14" s="1"/>
  <c r="S9" i="14"/>
  <c r="T20" i="14" s="1"/>
  <c r="AJ91" i="17" l="1"/>
  <c r="AE52" i="14"/>
  <c r="T35" i="14"/>
  <c r="Q137" i="14" s="1"/>
  <c r="U35" i="14"/>
  <c r="U36" i="14"/>
  <c r="S14" i="14"/>
  <c r="T14" i="14"/>
  <c r="AK91" i="17" l="1"/>
  <c r="R137" i="14"/>
  <c r="R138" i="14"/>
  <c r="Q138" i="14"/>
  <c r="AE10" i="17"/>
  <c r="AE10" i="19"/>
  <c r="AE51" i="14"/>
  <c r="AE9" i="19" s="1"/>
  <c r="AY51" i="14"/>
  <c r="AY9" i="19" s="1"/>
  <c r="AY52" i="14"/>
  <c r="AY10" i="19" s="1"/>
  <c r="U257" i="14"/>
  <c r="U256" i="14"/>
  <c r="T257" i="14"/>
  <c r="T256" i="14"/>
  <c r="AL91" i="17" l="1"/>
  <c r="AY10" i="17"/>
  <c r="AY9" i="17"/>
  <c r="AE9" i="17"/>
  <c r="AZ52" i="14"/>
  <c r="AZ10" i="19" s="1"/>
  <c r="AZ51" i="14"/>
  <c r="AZ9" i="19" s="1"/>
  <c r="B247" i="14"/>
  <c r="B248" i="14"/>
  <c r="B249" i="14"/>
  <c r="AM91" i="17" l="1"/>
  <c r="AZ9" i="17"/>
  <c r="AZ10" i="17"/>
  <c r="BA51" i="14"/>
  <c r="BA9" i="19" s="1"/>
  <c r="BA52" i="14"/>
  <c r="BA10" i="19" s="1"/>
  <c r="B246" i="14"/>
  <c r="AN91" i="17" l="1"/>
  <c r="BA9" i="17"/>
  <c r="BA10" i="17"/>
  <c r="BB52" i="14"/>
  <c r="BB10" i="19" s="1"/>
  <c r="BB51" i="14"/>
  <c r="BB9" i="19" s="1"/>
  <c r="A238" i="14"/>
  <c r="A216" i="14"/>
  <c r="T214" i="14"/>
  <c r="U213" i="14"/>
  <c r="V213" i="14" s="1"/>
  <c r="W213" i="14" s="1"/>
  <c r="X213" i="14" s="1"/>
  <c r="Y213" i="14" s="1"/>
  <c r="Z213" i="14" s="1"/>
  <c r="AA213" i="14" s="1"/>
  <c r="AB213" i="14" s="1"/>
  <c r="AC213" i="14" s="1"/>
  <c r="AD213" i="14" s="1"/>
  <c r="AE213" i="14" s="1"/>
  <c r="AF213" i="14" s="1"/>
  <c r="AG213" i="14" s="1"/>
  <c r="AH213" i="14" s="1"/>
  <c r="AI213" i="14" s="1"/>
  <c r="AJ213" i="14" s="1"/>
  <c r="AK213" i="14" s="1"/>
  <c r="AL213" i="14" s="1"/>
  <c r="AM213" i="14" s="1"/>
  <c r="AN213" i="14" s="1"/>
  <c r="AO213" i="14" s="1"/>
  <c r="AP213" i="14" s="1"/>
  <c r="AQ213" i="14" s="1"/>
  <c r="AR213" i="14" s="1"/>
  <c r="AS213" i="14" s="1"/>
  <c r="AT213" i="14" s="1"/>
  <c r="AU213" i="14" s="1"/>
  <c r="AV213" i="14" s="1"/>
  <c r="AW213" i="14" s="1"/>
  <c r="AX213" i="14" s="1"/>
  <c r="AY213" i="14" s="1"/>
  <c r="AZ213" i="14" s="1"/>
  <c r="BA213" i="14" s="1"/>
  <c r="BB213" i="14" s="1"/>
  <c r="BC213" i="14" s="1"/>
  <c r="BD213" i="14" s="1"/>
  <c r="BE213" i="14" s="1"/>
  <c r="BF213" i="14" s="1"/>
  <c r="BG213" i="14" s="1"/>
  <c r="BH213" i="14" s="1"/>
  <c r="BI213" i="14" s="1"/>
  <c r="AC98" i="14"/>
  <c r="AB98" i="14"/>
  <c r="AC97" i="14"/>
  <c r="AB97" i="14"/>
  <c r="AC96" i="14"/>
  <c r="AB96" i="14"/>
  <c r="AC95" i="14"/>
  <c r="AB95" i="14"/>
  <c r="AC89" i="14"/>
  <c r="AB89" i="14"/>
  <c r="AC88" i="14"/>
  <c r="AB88" i="14"/>
  <c r="AC87" i="14"/>
  <c r="AB87" i="14"/>
  <c r="AC86" i="14"/>
  <c r="AB86" i="14"/>
  <c r="AC85" i="14"/>
  <c r="AB85" i="14"/>
  <c r="U56" i="14"/>
  <c r="V56" i="14" s="1"/>
  <c r="W56" i="14" s="1"/>
  <c r="X56" i="14" s="1"/>
  <c r="Y56" i="14" s="1"/>
  <c r="Z56" i="14" s="1"/>
  <c r="AA56" i="14" s="1"/>
  <c r="AB56" i="14" s="1"/>
  <c r="AC56" i="14" s="1"/>
  <c r="AD56" i="14" s="1"/>
  <c r="AE56" i="14" s="1"/>
  <c r="AF56" i="14" s="1"/>
  <c r="AG56" i="14" s="1"/>
  <c r="AH56" i="14" s="1"/>
  <c r="AI56" i="14" s="1"/>
  <c r="AJ56" i="14" s="1"/>
  <c r="AK56" i="14" s="1"/>
  <c r="AL56" i="14" s="1"/>
  <c r="AM56" i="14" s="1"/>
  <c r="AN56" i="14" s="1"/>
  <c r="AO56" i="14" s="1"/>
  <c r="AP56" i="14" s="1"/>
  <c r="AQ56" i="14" s="1"/>
  <c r="AR56" i="14" s="1"/>
  <c r="AS56" i="14" s="1"/>
  <c r="AT56" i="14" s="1"/>
  <c r="AU56" i="14" s="1"/>
  <c r="AV56" i="14" s="1"/>
  <c r="AW56" i="14" s="1"/>
  <c r="AX56" i="14" s="1"/>
  <c r="AY56" i="14" s="1"/>
  <c r="AZ56" i="14" s="1"/>
  <c r="BA56" i="14" s="1"/>
  <c r="BB56" i="14" s="1"/>
  <c r="BC56" i="14" s="1"/>
  <c r="BD56" i="14" s="1"/>
  <c r="BE56" i="14" s="1"/>
  <c r="BF56" i="14" s="1"/>
  <c r="BG56" i="14" s="1"/>
  <c r="BH56" i="14" s="1"/>
  <c r="BI56" i="14" s="1"/>
  <c r="BJ56" i="14" s="1"/>
  <c r="U49" i="14"/>
  <c r="V49" i="14" s="1"/>
  <c r="W49" i="14" s="1"/>
  <c r="X49" i="14" s="1"/>
  <c r="Y49" i="14" s="1"/>
  <c r="Z49" i="14" s="1"/>
  <c r="AA49" i="14" s="1"/>
  <c r="AB49" i="14" s="1"/>
  <c r="AC49" i="14" s="1"/>
  <c r="AD49" i="14" s="1"/>
  <c r="AE49" i="14" s="1"/>
  <c r="U52" i="14" s="1"/>
  <c r="U10" i="19" s="1"/>
  <c r="AA37" i="14"/>
  <c r="AY58" i="14" s="1"/>
  <c r="AY16" i="19" s="1"/>
  <c r="Z37" i="14"/>
  <c r="AE58" i="14" s="1"/>
  <c r="AE16" i="19" s="1"/>
  <c r="Y37" i="14"/>
  <c r="T58" i="14" s="1"/>
  <c r="T16" i="19" s="1"/>
  <c r="U37" i="14"/>
  <c r="AY53" i="14" s="1"/>
  <c r="AY11" i="19" s="1"/>
  <c r="T37" i="14"/>
  <c r="AE53" i="14" s="1"/>
  <c r="AE11" i="19" s="1"/>
  <c r="S37" i="14"/>
  <c r="T53" i="14" s="1"/>
  <c r="T11" i="19" s="1"/>
  <c r="AR28" i="14"/>
  <c r="AO28" i="14"/>
  <c r="AN28" i="14" s="1"/>
  <c r="AL28" i="14"/>
  <c r="AS26" i="14"/>
  <c r="AS27" i="14" s="1"/>
  <c r="AR27" i="14" s="1"/>
  <c r="AQ26" i="14"/>
  <c r="AQ27" i="14" s="1"/>
  <c r="AP26" i="14"/>
  <c r="AP27" i="14" s="1"/>
  <c r="AM26" i="14"/>
  <c r="AL26" i="14" s="1"/>
  <c r="AO25" i="14"/>
  <c r="AO24" i="14"/>
  <c r="W24" i="14"/>
  <c r="AO23" i="14"/>
  <c r="W23" i="14"/>
  <c r="AO22" i="14"/>
  <c r="W22" i="14"/>
  <c r="AO21" i="14"/>
  <c r="W21" i="14"/>
  <c r="AO20" i="14"/>
  <c r="W20" i="14"/>
  <c r="U34" i="14"/>
  <c r="AY50" i="14" s="1"/>
  <c r="T34" i="14"/>
  <c r="AE50" i="14" s="1"/>
  <c r="AO19" i="14"/>
  <c r="AA19" i="14"/>
  <c r="Z19" i="14"/>
  <c r="Y19" i="14"/>
  <c r="W19" i="14"/>
  <c r="A2" i="14"/>
  <c r="AO91" i="17" l="1"/>
  <c r="AE8" i="19"/>
  <c r="AE12" i="19" s="1"/>
  <c r="AY8" i="19"/>
  <c r="AY12" i="19" s="1"/>
  <c r="AC43" i="17"/>
  <c r="Y43" i="17" s="1"/>
  <c r="Y85" i="14"/>
  <c r="AC173" i="14"/>
  <c r="AC45" i="17"/>
  <c r="Y45" i="17" s="1"/>
  <c r="Y87" i="14"/>
  <c r="AC175" i="14"/>
  <c r="Y89" i="14"/>
  <c r="AC177" i="14"/>
  <c r="AC54" i="17"/>
  <c r="Y54" i="17" s="1"/>
  <c r="AC184" i="14"/>
  <c r="Y96" i="14"/>
  <c r="AC56" i="17"/>
  <c r="Y56" i="17" s="1"/>
  <c r="Y98" i="14"/>
  <c r="AC186" i="14"/>
  <c r="AB44" i="17"/>
  <c r="X44" i="17" s="1"/>
  <c r="AB174" i="14"/>
  <c r="X86" i="14"/>
  <c r="AB46" i="17"/>
  <c r="X46" i="17" s="1"/>
  <c r="X88" i="14"/>
  <c r="AB176" i="14"/>
  <c r="AB183" i="14"/>
  <c r="X95" i="14"/>
  <c r="AB55" i="17"/>
  <c r="X55" i="17" s="1"/>
  <c r="AB185" i="14"/>
  <c r="X97" i="14"/>
  <c r="AC46" i="17"/>
  <c r="Y46" i="17" s="1"/>
  <c r="AC176" i="14"/>
  <c r="Y88" i="14"/>
  <c r="AC44" i="17"/>
  <c r="Y44" i="17" s="1"/>
  <c r="Y86" i="14"/>
  <c r="AC174" i="14"/>
  <c r="Y95" i="14"/>
  <c r="AC183" i="14"/>
  <c r="AC55" i="17"/>
  <c r="Y55" i="17" s="1"/>
  <c r="Y97" i="14"/>
  <c r="AC185" i="14"/>
  <c r="AB43" i="17"/>
  <c r="X43" i="17" s="1"/>
  <c r="AB173" i="14"/>
  <c r="X85" i="14"/>
  <c r="AB45" i="17"/>
  <c r="X45" i="17" s="1"/>
  <c r="AB175" i="14"/>
  <c r="X87" i="14"/>
  <c r="AB177" i="14"/>
  <c r="X89" i="14"/>
  <c r="AB54" i="17"/>
  <c r="X54" i="17" s="1"/>
  <c r="X96" i="14"/>
  <c r="AB184" i="14"/>
  <c r="AB56" i="17"/>
  <c r="X56" i="17" s="1"/>
  <c r="X98" i="14"/>
  <c r="AB186" i="14"/>
  <c r="Q113" i="19"/>
  <c r="R113" i="19"/>
  <c r="R112" i="19"/>
  <c r="Q112" i="19"/>
  <c r="AE8" i="17"/>
  <c r="T11" i="17"/>
  <c r="AE16" i="17"/>
  <c r="BB9" i="17"/>
  <c r="AY8" i="17"/>
  <c r="AE11" i="17"/>
  <c r="AY16" i="17"/>
  <c r="BB10" i="17"/>
  <c r="AY11" i="17"/>
  <c r="U10" i="17"/>
  <c r="T16" i="17"/>
  <c r="AB53" i="17"/>
  <c r="X53" i="17" s="1"/>
  <c r="AC53" i="17"/>
  <c r="Y53" i="17" s="1"/>
  <c r="AB47" i="17"/>
  <c r="AC47" i="17"/>
  <c r="U53" i="14"/>
  <c r="U11" i="19" s="1"/>
  <c r="AF58" i="14"/>
  <c r="AF16" i="19" s="1"/>
  <c r="BC51" i="14"/>
  <c r="BC9" i="19" s="1"/>
  <c r="U58" i="14"/>
  <c r="U16" i="19" s="1"/>
  <c r="AZ53" i="14"/>
  <c r="AZ11" i="19" s="1"/>
  <c r="V52" i="14"/>
  <c r="V10" i="19" s="1"/>
  <c r="BC52" i="14"/>
  <c r="BC10" i="19" s="1"/>
  <c r="AE54" i="14"/>
  <c r="Z34" i="14"/>
  <c r="AE57" i="14" s="1"/>
  <c r="AE15" i="19" s="1"/>
  <c r="Z36" i="14"/>
  <c r="Y34" i="14"/>
  <c r="T57" i="14" s="1"/>
  <c r="T15" i="19" s="1"/>
  <c r="Y36" i="14"/>
  <c r="AA34" i="14"/>
  <c r="AY57" i="14" s="1"/>
  <c r="AY15" i="19" s="1"/>
  <c r="AA36" i="14"/>
  <c r="AF49" i="14"/>
  <c r="AG49" i="14" s="1"/>
  <c r="AH49" i="14" s="1"/>
  <c r="AI49" i="14" s="1"/>
  <c r="AJ49" i="14" s="1"/>
  <c r="AK49" i="14" s="1"/>
  <c r="AL49" i="14" s="1"/>
  <c r="AM49" i="14" s="1"/>
  <c r="AN49" i="14" s="1"/>
  <c r="AO49" i="14" s="1"/>
  <c r="AP49" i="14" s="1"/>
  <c r="AQ49" i="14" s="1"/>
  <c r="AR49" i="14" s="1"/>
  <c r="AS49" i="14" s="1"/>
  <c r="AT49" i="14" s="1"/>
  <c r="AU49" i="14" s="1"/>
  <c r="AV49" i="14" s="1"/>
  <c r="AW49" i="14" s="1"/>
  <c r="AX49" i="14" s="1"/>
  <c r="AY49" i="14" s="1"/>
  <c r="AZ50" i="14"/>
  <c r="AY54" i="14"/>
  <c r="AL24" i="14"/>
  <c r="AR21" i="14"/>
  <c r="AL25" i="14"/>
  <c r="S22" i="14"/>
  <c r="S35" i="14" s="1"/>
  <c r="AR22" i="14"/>
  <c r="AM27" i="14"/>
  <c r="AL27" i="14" s="1"/>
  <c r="AR19" i="14"/>
  <c r="AL21" i="14"/>
  <c r="AR25" i="14"/>
  <c r="AC92" i="14"/>
  <c r="AR20" i="14"/>
  <c r="AR23" i="14"/>
  <c r="AR24" i="14"/>
  <c r="AR26" i="14"/>
  <c r="Q239" i="14"/>
  <c r="AZ58" i="14"/>
  <c r="AZ16" i="19" s="1"/>
  <c r="AB90" i="14"/>
  <c r="AL23" i="14"/>
  <c r="AL19" i="14"/>
  <c r="AL22" i="14"/>
  <c r="AL20" i="14"/>
  <c r="AB92" i="14"/>
  <c r="AB91" i="14"/>
  <c r="U215" i="14"/>
  <c r="AC94" i="14"/>
  <c r="AC90" i="14"/>
  <c r="AO26" i="14"/>
  <c r="AC91" i="14"/>
  <c r="AB94" i="14"/>
  <c r="AB93" i="14"/>
  <c r="AC93" i="14"/>
  <c r="Q242" i="14"/>
  <c r="Q240" i="14"/>
  <c r="Q238" i="14"/>
  <c r="Q237" i="14"/>
  <c r="Q241" i="14"/>
  <c r="T286" i="14" l="1"/>
  <c r="T288" i="14"/>
  <c r="AP91" i="17"/>
  <c r="AZ8" i="19"/>
  <c r="AZ12" i="19" s="1"/>
  <c r="AY12" i="17"/>
  <c r="AX253" i="17"/>
  <c r="AE12" i="17"/>
  <c r="AD253" i="17"/>
  <c r="Y257" i="14"/>
  <c r="X257" i="14"/>
  <c r="T289" i="14" s="1"/>
  <c r="AB49" i="17"/>
  <c r="X49" i="17" s="1"/>
  <c r="AB179" i="14"/>
  <c r="X91" i="14"/>
  <c r="Q141" i="14"/>
  <c r="Q140" i="14"/>
  <c r="AB51" i="17"/>
  <c r="X51" i="17" s="1"/>
  <c r="AB181" i="14"/>
  <c r="X93" i="14"/>
  <c r="AB50" i="17"/>
  <c r="X50" i="17" s="1"/>
  <c r="X92" i="14"/>
  <c r="AB180" i="14"/>
  <c r="AC50" i="17"/>
  <c r="Y50" i="17" s="1"/>
  <c r="AC180" i="14"/>
  <c r="Y92" i="14"/>
  <c r="AB52" i="17"/>
  <c r="X52" i="17" s="1"/>
  <c r="X94" i="14"/>
  <c r="AB182" i="14"/>
  <c r="AC52" i="17"/>
  <c r="Y52" i="17" s="1"/>
  <c r="Y94" i="14"/>
  <c r="AC182" i="14"/>
  <c r="AB48" i="17"/>
  <c r="X48" i="17" s="1"/>
  <c r="X90" i="14"/>
  <c r="AB178" i="14"/>
  <c r="P141" i="14"/>
  <c r="P140" i="14"/>
  <c r="AC51" i="17"/>
  <c r="Y51" i="17" s="1"/>
  <c r="Y93" i="14"/>
  <c r="AC181" i="14"/>
  <c r="R141" i="14"/>
  <c r="R140" i="14"/>
  <c r="AC48" i="17"/>
  <c r="Y48" i="17" s="1"/>
  <c r="Y90" i="14"/>
  <c r="AC178" i="14"/>
  <c r="AC49" i="17"/>
  <c r="Y49" i="17" s="1"/>
  <c r="Y91" i="14"/>
  <c r="AC179" i="14"/>
  <c r="P137" i="14"/>
  <c r="P138" i="14"/>
  <c r="Q111" i="19"/>
  <c r="R111" i="19"/>
  <c r="P42" i="14"/>
  <c r="P43" i="14"/>
  <c r="P46" i="14"/>
  <c r="P45" i="14"/>
  <c r="T15" i="17"/>
  <c r="BC10" i="17"/>
  <c r="BC9" i="17"/>
  <c r="V10" i="17"/>
  <c r="AE15" i="17"/>
  <c r="AD254" i="17" s="1"/>
  <c r="AZ11" i="17"/>
  <c r="U11" i="17"/>
  <c r="AZ8" i="17"/>
  <c r="AZ16" i="17"/>
  <c r="AZ57" i="14"/>
  <c r="AZ15" i="19" s="1"/>
  <c r="AY15" i="17"/>
  <c r="AX254" i="17" s="1"/>
  <c r="V58" i="14"/>
  <c r="V16" i="19" s="1"/>
  <c r="U16" i="17"/>
  <c r="X226" i="17"/>
  <c r="X47" i="17"/>
  <c r="AG58" i="14"/>
  <c r="AG16" i="19" s="1"/>
  <c r="AF16" i="17"/>
  <c r="Y47" i="17"/>
  <c r="Y226" i="17"/>
  <c r="V53" i="14"/>
  <c r="V11" i="19" s="1"/>
  <c r="AF51" i="14"/>
  <c r="AF9" i="19" s="1"/>
  <c r="AF52" i="14"/>
  <c r="AF10" i="19" s="1"/>
  <c r="T59" i="14"/>
  <c r="U57" i="14"/>
  <c r="U15" i="19" s="1"/>
  <c r="BD51" i="14"/>
  <c r="BD9" i="19" s="1"/>
  <c r="BA53" i="14"/>
  <c r="BA11" i="19" s="1"/>
  <c r="AF53" i="14"/>
  <c r="AF11" i="19" s="1"/>
  <c r="AF50" i="14"/>
  <c r="BD52" i="14"/>
  <c r="BD10" i="19" s="1"/>
  <c r="BA50" i="14"/>
  <c r="AF57" i="14"/>
  <c r="AF15" i="19" s="1"/>
  <c r="W52" i="14"/>
  <c r="W10" i="19" s="1"/>
  <c r="T51" i="14"/>
  <c r="T9" i="19" s="1"/>
  <c r="AY59" i="14"/>
  <c r="AE59" i="14"/>
  <c r="AZ49" i="14"/>
  <c r="BA49" i="14" s="1"/>
  <c r="BB49" i="14" s="1"/>
  <c r="BC49" i="14" s="1"/>
  <c r="BD49" i="14" s="1"/>
  <c r="BE49" i="14" s="1"/>
  <c r="BF49" i="14" s="1"/>
  <c r="BG49" i="14" s="1"/>
  <c r="BH49" i="14" s="1"/>
  <c r="BI49" i="14" s="1"/>
  <c r="BJ49" i="14" s="1"/>
  <c r="AZ54" i="14"/>
  <c r="S34" i="14"/>
  <c r="T50" i="14" s="1"/>
  <c r="T8" i="19" s="1"/>
  <c r="V215" i="14"/>
  <c r="BA58" i="14"/>
  <c r="BA16" i="19" s="1"/>
  <c r="AN26" i="14"/>
  <c r="AN25" i="14"/>
  <c r="AN24" i="14"/>
  <c r="AN19" i="14"/>
  <c r="AN23" i="14"/>
  <c r="AN21" i="14"/>
  <c r="AN20" i="14"/>
  <c r="AN22" i="14"/>
  <c r="AO27" i="14"/>
  <c r="AN27" i="14" s="1"/>
  <c r="T287" i="14" l="1"/>
  <c r="V289" i="14"/>
  <c r="U289" i="14"/>
  <c r="V287" i="14"/>
  <c r="U287" i="14"/>
  <c r="W240" i="17"/>
  <c r="AC238" i="17"/>
  <c r="BI238" i="17"/>
  <c r="AA240" i="17"/>
  <c r="AQ240" i="17"/>
  <c r="BG240" i="17"/>
  <c r="AG238" i="17"/>
  <c r="AW238" i="17"/>
  <c r="AM240" i="17"/>
  <c r="AE240" i="17"/>
  <c r="AU240" i="17"/>
  <c r="U238" i="17"/>
  <c r="AK238" i="17"/>
  <c r="BA238" i="17"/>
  <c r="BC240" i="17"/>
  <c r="AS238" i="17"/>
  <c r="AI240" i="17"/>
  <c r="AY240" i="17"/>
  <c r="T238" i="17"/>
  <c r="AJ238" i="17"/>
  <c r="AZ238" i="17"/>
  <c r="X240" i="17"/>
  <c r="AL238" i="17"/>
  <c r="AW240" i="17"/>
  <c r="AN240" i="17"/>
  <c r="AD238" i="17"/>
  <c r="AF240" i="17"/>
  <c r="BB238" i="17"/>
  <c r="AY238" i="17"/>
  <c r="Y238" i="17"/>
  <c r="Z240" i="17"/>
  <c r="X238" i="17"/>
  <c r="AP240" i="17"/>
  <c r="AL240" i="17"/>
  <c r="AB238" i="17"/>
  <c r="AR238" i="17"/>
  <c r="BH238" i="17"/>
  <c r="AN238" i="17"/>
  <c r="AX240" i="17"/>
  <c r="BF240" i="17"/>
  <c r="AD240" i="17"/>
  <c r="AF238" i="17"/>
  <c r="AV238" i="17"/>
  <c r="V240" i="17"/>
  <c r="BD238" i="17"/>
  <c r="BB240" i="17"/>
  <c r="AH240" i="17"/>
  <c r="AT240" i="17"/>
  <c r="T240" i="17"/>
  <c r="Y240" i="17"/>
  <c r="AO240" i="17"/>
  <c r="BE240" i="17"/>
  <c r="AG240" i="17"/>
  <c r="AX238" i="17"/>
  <c r="AV240" i="17"/>
  <c r="BD240" i="17"/>
  <c r="AH238" i="17"/>
  <c r="AI238" i="17"/>
  <c r="BE238" i="17"/>
  <c r="Z238" i="17"/>
  <c r="W238" i="17"/>
  <c r="AC240" i="17"/>
  <c r="BI240" i="17"/>
  <c r="AP238" i="17"/>
  <c r="AA238" i="17"/>
  <c r="AQ238" i="17"/>
  <c r="BG238" i="17"/>
  <c r="AB240" i="17"/>
  <c r="AR240" i="17"/>
  <c r="BH240" i="17"/>
  <c r="AM238" i="17"/>
  <c r="BF238" i="17"/>
  <c r="AE238" i="17"/>
  <c r="AU238" i="17"/>
  <c r="U240" i="17"/>
  <c r="AK240" i="17"/>
  <c r="BA240" i="17"/>
  <c r="BC238" i="17"/>
  <c r="AS240" i="17"/>
  <c r="AJ240" i="17"/>
  <c r="AZ240" i="17"/>
  <c r="V238" i="17"/>
  <c r="AT238" i="17"/>
  <c r="AO238" i="17"/>
  <c r="V288" i="14"/>
  <c r="U288" i="14"/>
  <c r="AQ91" i="17"/>
  <c r="BA8" i="19"/>
  <c r="BA12" i="19" s="1"/>
  <c r="AF8" i="19"/>
  <c r="AF12" i="19" s="1"/>
  <c r="AZ12" i="17"/>
  <c r="AY253" i="17"/>
  <c r="T153" i="14"/>
  <c r="AZ59" i="14"/>
  <c r="T154" i="14"/>
  <c r="R36" i="19"/>
  <c r="P36" i="19"/>
  <c r="Q36" i="19"/>
  <c r="T12" i="19"/>
  <c r="AF8" i="17"/>
  <c r="V11" i="17"/>
  <c r="AF11" i="17"/>
  <c r="W10" i="17"/>
  <c r="BA16" i="17"/>
  <c r="BA8" i="17"/>
  <c r="BA11" i="17"/>
  <c r="AF10" i="17"/>
  <c r="AZ15" i="17"/>
  <c r="AY254" i="17" s="1"/>
  <c r="BD10" i="17"/>
  <c r="BD9" i="17"/>
  <c r="AF9" i="17"/>
  <c r="BA57" i="14"/>
  <c r="U51" i="14"/>
  <c r="U9" i="19" s="1"/>
  <c r="T9" i="17"/>
  <c r="V57" i="14"/>
  <c r="V15" i="19" s="1"/>
  <c r="U15" i="17"/>
  <c r="T254" i="17" s="1"/>
  <c r="AH58" i="14"/>
  <c r="AH16" i="19" s="1"/>
  <c r="AG16" i="17"/>
  <c r="W58" i="14"/>
  <c r="W16" i="19" s="1"/>
  <c r="V16" i="17"/>
  <c r="AG57" i="14"/>
  <c r="AG15" i="19" s="1"/>
  <c r="AF15" i="17"/>
  <c r="AE254" i="17" s="1"/>
  <c r="U50" i="14"/>
  <c r="T8" i="17"/>
  <c r="BB50" i="14"/>
  <c r="AF54" i="14"/>
  <c r="X52" i="14"/>
  <c r="X10" i="19" s="1"/>
  <c r="BE52" i="14"/>
  <c r="BE10" i="19" s="1"/>
  <c r="BB53" i="14"/>
  <c r="BB11" i="19" s="1"/>
  <c r="AG51" i="14"/>
  <c r="AG9" i="19" s="1"/>
  <c r="BA54" i="14"/>
  <c r="AG50" i="14"/>
  <c r="BE51" i="14"/>
  <c r="BE9" i="19" s="1"/>
  <c r="AG53" i="14"/>
  <c r="AG11" i="19" s="1"/>
  <c r="W53" i="14"/>
  <c r="W11" i="19" s="1"/>
  <c r="AG52" i="14"/>
  <c r="AG10" i="19" s="1"/>
  <c r="AF59" i="14"/>
  <c r="U59" i="14"/>
  <c r="T54" i="14"/>
  <c r="W215" i="14"/>
  <c r="W289" i="14" s="1"/>
  <c r="BB58" i="14"/>
  <c r="BB16" i="19" s="1"/>
  <c r="A125" i="13"/>
  <c r="A124" i="13"/>
  <c r="A123" i="13"/>
  <c r="A122" i="13"/>
  <c r="A113" i="13"/>
  <c r="A112" i="13"/>
  <c r="A111" i="13"/>
  <c r="A110" i="13"/>
  <c r="A88" i="13"/>
  <c r="A93" i="13" s="1"/>
  <c r="A87" i="13"/>
  <c r="A92" i="13" s="1"/>
  <c r="A86" i="13"/>
  <c r="A91" i="13" s="1"/>
  <c r="A85" i="13"/>
  <c r="A90" i="13" s="1"/>
  <c r="A76" i="13"/>
  <c r="A81" i="13" s="1"/>
  <c r="A75" i="13"/>
  <c r="A80" i="13" s="1"/>
  <c r="A74" i="13"/>
  <c r="A79" i="13" s="1"/>
  <c r="A73" i="13"/>
  <c r="A78" i="13" s="1"/>
  <c r="B66" i="13"/>
  <c r="B65" i="13"/>
  <c r="B64" i="13"/>
  <c r="V57" i="13"/>
  <c r="V56" i="13"/>
  <c r="V55" i="13"/>
  <c r="V54" i="13"/>
  <c r="V47" i="13"/>
  <c r="V46" i="13"/>
  <c r="V45" i="13"/>
  <c r="V44" i="13"/>
  <c r="A2" i="13"/>
  <c r="T58" i="8"/>
  <c r="S58" i="8"/>
  <c r="R58" i="8"/>
  <c r="Q58" i="8"/>
  <c r="P58" i="8"/>
  <c r="O58" i="8"/>
  <c r="N58" i="8"/>
  <c r="M58" i="8"/>
  <c r="L58" i="8"/>
  <c r="K58" i="8"/>
  <c r="J58" i="8"/>
  <c r="I58" i="8"/>
  <c r="H58" i="8"/>
  <c r="G58" i="8"/>
  <c r="F58" i="8"/>
  <c r="E58" i="8"/>
  <c r="D58"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T13" i="8"/>
  <c r="T16" i="8" s="1"/>
  <c r="T56" i="8" s="1"/>
  <c r="S13" i="8"/>
  <c r="S16" i="8" s="1"/>
  <c r="R13" i="8"/>
  <c r="R16" i="8" s="1"/>
  <c r="Q13" i="8"/>
  <c r="Q16" i="8" s="1"/>
  <c r="P13" i="8"/>
  <c r="P16" i="8" s="1"/>
  <c r="P56" i="8" s="1"/>
  <c r="O13" i="8"/>
  <c r="O16" i="8" s="1"/>
  <c r="N13" i="8"/>
  <c r="N16" i="8" s="1"/>
  <c r="M13" i="8"/>
  <c r="M16" i="8" s="1"/>
  <c r="L13" i="8"/>
  <c r="L16" i="8" s="1"/>
  <c r="L56" i="8" s="1"/>
  <c r="K13" i="8"/>
  <c r="K16" i="8" s="1"/>
  <c r="J13" i="8"/>
  <c r="J16" i="8" s="1"/>
  <c r="I13" i="8"/>
  <c r="I16" i="8" s="1"/>
  <c r="H13" i="8"/>
  <c r="H16" i="8" s="1"/>
  <c r="H56" i="8" s="1"/>
  <c r="G13" i="8"/>
  <c r="G16" i="8" s="1"/>
  <c r="F13" i="8"/>
  <c r="F16" i="8" s="1"/>
  <c r="E13" i="8"/>
  <c r="E16" i="8" s="1"/>
  <c r="D13" i="8"/>
  <c r="D16" i="8" s="1"/>
  <c r="D56" i="8" s="1"/>
  <c r="C13" i="8"/>
  <c r="C16" i="8" s="1"/>
  <c r="C1" i="8"/>
  <c r="D1" i="8" s="1"/>
  <c r="E1" i="8" s="1"/>
  <c r="F1" i="8" s="1"/>
  <c r="G1" i="8" s="1"/>
  <c r="H1" i="8" s="1"/>
  <c r="I1" i="8" s="1"/>
  <c r="J1" i="8" s="1"/>
  <c r="K1" i="8" s="1"/>
  <c r="L1" i="8" s="1"/>
  <c r="M1" i="8" s="1"/>
  <c r="N1" i="8" s="1"/>
  <c r="O1" i="8" s="1"/>
  <c r="P1" i="8" s="1"/>
  <c r="Q1" i="8" s="1"/>
  <c r="R1" i="8" s="1"/>
  <c r="S1" i="8" s="1"/>
  <c r="T1" i="8" s="1"/>
  <c r="U1" i="8" s="1"/>
  <c r="V1" i="8" s="1"/>
  <c r="W1" i="8" s="1"/>
  <c r="X1" i="8" s="1"/>
  <c r="Y1" i="8" s="1"/>
  <c r="Z1" i="8" s="1"/>
  <c r="AA1" i="8" s="1"/>
  <c r="AB1" i="8" s="1"/>
  <c r="AC1" i="8" s="1"/>
  <c r="AD1" i="8" s="1"/>
  <c r="AE1" i="8" s="1"/>
  <c r="AF1" i="8" s="1"/>
  <c r="AG1" i="8" s="1"/>
  <c r="AH1" i="8" s="1"/>
  <c r="AI1" i="8" s="1"/>
  <c r="AJ1" i="8" s="1"/>
  <c r="AK1" i="8" s="1"/>
  <c r="AL1" i="8" s="1"/>
  <c r="AM1" i="8" s="1"/>
  <c r="AN1" i="8" s="1"/>
  <c r="AO1" i="8" s="1"/>
  <c r="AP1" i="8" s="1"/>
  <c r="AQ1" i="8" s="1"/>
  <c r="AR1" i="8" s="1"/>
  <c r="AS1" i="8" s="1"/>
  <c r="AT1" i="8" s="1"/>
  <c r="AU1" i="8" s="1"/>
  <c r="AV1" i="8" s="1"/>
  <c r="AW1" i="8" s="1"/>
  <c r="AX1" i="8" s="1"/>
  <c r="AY1" i="8" s="1"/>
  <c r="W287" i="14" l="1"/>
  <c r="W288" i="14"/>
  <c r="AR91" i="17"/>
  <c r="U8" i="19"/>
  <c r="U12" i="19" s="1"/>
  <c r="BB8" i="19"/>
  <c r="BB12" i="19" s="1"/>
  <c r="BA12" i="17"/>
  <c r="AZ253" i="17"/>
  <c r="AG8" i="19"/>
  <c r="AG12" i="19" s="1"/>
  <c r="AE253" i="17"/>
  <c r="B63" i="13"/>
  <c r="P88" i="13" s="1"/>
  <c r="T36" i="19"/>
  <c r="P101" i="19" s="1"/>
  <c r="V36" i="19"/>
  <c r="R101" i="19" s="1"/>
  <c r="U36" i="19"/>
  <c r="Q101" i="19" s="1"/>
  <c r="U186" i="14"/>
  <c r="U182" i="14"/>
  <c r="U178" i="14"/>
  <c r="U174" i="14"/>
  <c r="U180" i="14"/>
  <c r="U179" i="14"/>
  <c r="U185" i="14"/>
  <c r="U181" i="14"/>
  <c r="U177" i="14"/>
  <c r="U173" i="14"/>
  <c r="U176" i="14"/>
  <c r="U183" i="14"/>
  <c r="U184" i="14"/>
  <c r="U175" i="14"/>
  <c r="T184" i="14"/>
  <c r="X184" i="14" s="1"/>
  <c r="T180" i="14"/>
  <c r="X180" i="14" s="1"/>
  <c r="T176" i="14"/>
  <c r="X176" i="14" s="1"/>
  <c r="T186" i="14"/>
  <c r="X186" i="14" s="1"/>
  <c r="T178" i="14"/>
  <c r="X178" i="14" s="1"/>
  <c r="T183" i="14"/>
  <c r="X183" i="14" s="1"/>
  <c r="T179" i="14"/>
  <c r="U228" i="14" s="1"/>
  <c r="T175" i="14"/>
  <c r="X175" i="14" s="1"/>
  <c r="T182" i="14"/>
  <c r="X182" i="14" s="1"/>
  <c r="T185" i="14"/>
  <c r="X185" i="14" s="1"/>
  <c r="T173" i="14"/>
  <c r="X173" i="14" s="1"/>
  <c r="T174" i="14"/>
  <c r="X174" i="14" s="1"/>
  <c r="T181" i="14"/>
  <c r="X181" i="14" s="1"/>
  <c r="T177" i="14"/>
  <c r="X177" i="14" s="1"/>
  <c r="T46" i="31"/>
  <c r="Y179" i="14"/>
  <c r="E56" i="8"/>
  <c r="E61" i="8"/>
  <c r="J56" i="8"/>
  <c r="J61" i="8"/>
  <c r="AA61" i="8"/>
  <c r="AA56" i="8"/>
  <c r="AE61" i="8"/>
  <c r="AE56" i="8"/>
  <c r="AI61" i="8"/>
  <c r="AI56" i="8"/>
  <c r="AM61" i="8"/>
  <c r="AM56" i="8"/>
  <c r="AQ61" i="8"/>
  <c r="AQ56" i="8"/>
  <c r="AU61" i="8"/>
  <c r="AU56" i="8"/>
  <c r="AY61" i="8"/>
  <c r="AY56" i="8"/>
  <c r="M56" i="8"/>
  <c r="M61" i="8"/>
  <c r="Q56" i="8"/>
  <c r="Q61" i="8"/>
  <c r="AB56" i="8"/>
  <c r="AB61" i="8"/>
  <c r="AF56" i="8"/>
  <c r="AF61" i="8"/>
  <c r="AJ56" i="8"/>
  <c r="AJ61" i="8"/>
  <c r="AN56" i="8"/>
  <c r="AN61" i="8"/>
  <c r="AR56" i="8"/>
  <c r="AR61" i="8"/>
  <c r="AV56" i="8"/>
  <c r="AV61" i="8"/>
  <c r="AZ1" i="8"/>
  <c r="BA1" i="8" s="1"/>
  <c r="BB1" i="8" s="1"/>
  <c r="BC1" i="8" s="1"/>
  <c r="BD1" i="8" s="1"/>
  <c r="BE1" i="8" s="1"/>
  <c r="BF1" i="8" s="1"/>
  <c r="BG1" i="8" s="1"/>
  <c r="BH1" i="8" s="1"/>
  <c r="BI1" i="8" s="1"/>
  <c r="N56" i="8"/>
  <c r="N61" i="8"/>
  <c r="R56" i="8"/>
  <c r="R61" i="8"/>
  <c r="AC56" i="8"/>
  <c r="AC61" i="8"/>
  <c r="AG56" i="8"/>
  <c r="AG61" i="8"/>
  <c r="AK56" i="8"/>
  <c r="AK61" i="8"/>
  <c r="AO56" i="8"/>
  <c r="AO61" i="8"/>
  <c r="AS56" i="8"/>
  <c r="AS61" i="8"/>
  <c r="AW56" i="8"/>
  <c r="AW61" i="8"/>
  <c r="I56" i="8"/>
  <c r="I61" i="8"/>
  <c r="F56" i="8"/>
  <c r="F61" i="8"/>
  <c r="G61" i="8"/>
  <c r="G56" i="8"/>
  <c r="K61" i="8"/>
  <c r="K56" i="8"/>
  <c r="O61" i="8"/>
  <c r="O56" i="8"/>
  <c r="S61" i="8"/>
  <c r="S56" i="8"/>
  <c r="Z56" i="8"/>
  <c r="Z61" i="8"/>
  <c r="AD56" i="8"/>
  <c r="AD61" i="8"/>
  <c r="AH56" i="8"/>
  <c r="AH61" i="8"/>
  <c r="AL56" i="8"/>
  <c r="AL61" i="8"/>
  <c r="AP56" i="8"/>
  <c r="AP61" i="8"/>
  <c r="AT56" i="8"/>
  <c r="AT61" i="8"/>
  <c r="AX56" i="8"/>
  <c r="AX61" i="8"/>
  <c r="D61" i="8"/>
  <c r="H61" i="8"/>
  <c r="L61" i="8"/>
  <c r="P61" i="8"/>
  <c r="T61" i="8"/>
  <c r="BA59" i="14"/>
  <c r="BA15" i="19"/>
  <c r="BB57" i="14"/>
  <c r="AF12" i="17"/>
  <c r="T12" i="17"/>
  <c r="W11" i="17"/>
  <c r="X10" i="17"/>
  <c r="U8" i="17"/>
  <c r="T253" i="17" s="1"/>
  <c r="AG11" i="17"/>
  <c r="AG9" i="17"/>
  <c r="BE9" i="17"/>
  <c r="BB8" i="17"/>
  <c r="AG59" i="14"/>
  <c r="BA15" i="17"/>
  <c r="AZ254" i="17" s="1"/>
  <c r="BB16" i="17"/>
  <c r="AG10" i="17"/>
  <c r="AG8" i="17"/>
  <c r="AF253" i="17" s="1"/>
  <c r="BE10" i="17"/>
  <c r="U9" i="17"/>
  <c r="V50" i="14"/>
  <c r="U54" i="14"/>
  <c r="V51" i="14"/>
  <c r="AH57" i="14"/>
  <c r="AH15" i="19" s="1"/>
  <c r="AG15" i="17"/>
  <c r="AF254" i="17" s="1"/>
  <c r="X58" i="14"/>
  <c r="X16" i="19" s="1"/>
  <c r="W16" i="17"/>
  <c r="W57" i="14"/>
  <c r="W15" i="19" s="1"/>
  <c r="V15" i="17"/>
  <c r="U254" i="17" s="1"/>
  <c r="BB54" i="14"/>
  <c r="BB11" i="17"/>
  <c r="AI58" i="14"/>
  <c r="AI16" i="19" s="1"/>
  <c r="AH16" i="17"/>
  <c r="BC50" i="14"/>
  <c r="AG54" i="14"/>
  <c r="X53" i="14"/>
  <c r="X11" i="19" s="1"/>
  <c r="BF51" i="14"/>
  <c r="BF9" i="19" s="1"/>
  <c r="BF52" i="14"/>
  <c r="BF10" i="19" s="1"/>
  <c r="AH50" i="14"/>
  <c r="Y52" i="14"/>
  <c r="Y10" i="19" s="1"/>
  <c r="AH52" i="14"/>
  <c r="AH10" i="19" s="1"/>
  <c r="AH51" i="14"/>
  <c r="AH9" i="19" s="1"/>
  <c r="AH53" i="14"/>
  <c r="AH11" i="19" s="1"/>
  <c r="BC53" i="14"/>
  <c r="BC11" i="19" s="1"/>
  <c r="V59" i="14"/>
  <c r="X215" i="14"/>
  <c r="BC58" i="14"/>
  <c r="BC16" i="19" s="1"/>
  <c r="X288" i="14" l="1"/>
  <c r="X289" i="14"/>
  <c r="X287" i="14"/>
  <c r="R237" i="24"/>
  <c r="S237" i="24" s="1"/>
  <c r="T237" i="24" s="1"/>
  <c r="U237" i="24" s="1"/>
  <c r="V237" i="24" s="1"/>
  <c r="W237" i="24" s="1"/>
  <c r="X237" i="24" s="1"/>
  <c r="Y237" i="24" s="1"/>
  <c r="Z237" i="24" s="1"/>
  <c r="AA237" i="24" s="1"/>
  <c r="AB237" i="24" s="1"/>
  <c r="AC237" i="24" s="1"/>
  <c r="AD237" i="24" s="1"/>
  <c r="AE237" i="24" s="1"/>
  <c r="AF237" i="24" s="1"/>
  <c r="AG237" i="24" s="1"/>
  <c r="AH237" i="24" s="1"/>
  <c r="AI237" i="24" s="1"/>
  <c r="AJ237" i="24" s="1"/>
  <c r="AK237" i="24" s="1"/>
  <c r="AL237" i="24" s="1"/>
  <c r="AM237" i="24" s="1"/>
  <c r="AN237" i="24" s="1"/>
  <c r="AO237" i="24" s="1"/>
  <c r="AP237" i="24" s="1"/>
  <c r="AQ237" i="24" s="1"/>
  <c r="AR237" i="24" s="1"/>
  <c r="AS237" i="24" s="1"/>
  <c r="AT237" i="24" s="1"/>
  <c r="AU237" i="24" s="1"/>
  <c r="AV237" i="24" s="1"/>
  <c r="AW237" i="24" s="1"/>
  <c r="AX237" i="24" s="1"/>
  <c r="AY237" i="24" s="1"/>
  <c r="R235" i="24"/>
  <c r="S235" i="24" s="1"/>
  <c r="R236" i="24"/>
  <c r="S236" i="24" s="1"/>
  <c r="R234" i="24"/>
  <c r="S234" i="24" s="1"/>
  <c r="T234" i="24" s="1"/>
  <c r="U234" i="24" s="1"/>
  <c r="V234" i="24" s="1"/>
  <c r="W234" i="24" s="1"/>
  <c r="X234" i="24" s="1"/>
  <c r="Y234" i="24" s="1"/>
  <c r="Z234" i="24" s="1"/>
  <c r="AA234" i="24" s="1"/>
  <c r="AB234" i="24" s="1"/>
  <c r="AC234" i="24" s="1"/>
  <c r="AD234" i="24" s="1"/>
  <c r="AE234" i="24" s="1"/>
  <c r="AF234" i="24" s="1"/>
  <c r="AG234" i="24" s="1"/>
  <c r="AH234" i="24" s="1"/>
  <c r="AI234" i="24" s="1"/>
  <c r="AJ234" i="24" s="1"/>
  <c r="AK234" i="24" s="1"/>
  <c r="AL234" i="24" s="1"/>
  <c r="AM234" i="24" s="1"/>
  <c r="AN234" i="24" s="1"/>
  <c r="AO234" i="24" s="1"/>
  <c r="AP234" i="24" s="1"/>
  <c r="AQ234" i="24" s="1"/>
  <c r="AR234" i="24" s="1"/>
  <c r="AS234" i="24" s="1"/>
  <c r="AT234" i="24" s="1"/>
  <c r="AU234" i="24" s="1"/>
  <c r="AV234" i="24" s="1"/>
  <c r="AW234" i="24" s="1"/>
  <c r="AX234" i="24" s="1"/>
  <c r="AY234" i="24" s="1"/>
  <c r="R233" i="24"/>
  <c r="S233" i="24" s="1"/>
  <c r="T233" i="24" s="1"/>
  <c r="U233" i="24" s="1"/>
  <c r="V233" i="24" s="1"/>
  <c r="W233" i="24" s="1"/>
  <c r="X233" i="24" s="1"/>
  <c r="Y233" i="24" s="1"/>
  <c r="Z233" i="24" s="1"/>
  <c r="AA233" i="24" s="1"/>
  <c r="AB233" i="24" s="1"/>
  <c r="AC233" i="24" s="1"/>
  <c r="AD233" i="24" s="1"/>
  <c r="AE233" i="24" s="1"/>
  <c r="AF233" i="24" s="1"/>
  <c r="AG233" i="24" s="1"/>
  <c r="AH233" i="24" s="1"/>
  <c r="AI233" i="24" s="1"/>
  <c r="AJ233" i="24" s="1"/>
  <c r="AK233" i="24" s="1"/>
  <c r="AL233" i="24" s="1"/>
  <c r="AM233" i="24" s="1"/>
  <c r="AN233" i="24" s="1"/>
  <c r="AO233" i="24" s="1"/>
  <c r="AP233" i="24" s="1"/>
  <c r="AQ233" i="24" s="1"/>
  <c r="AR233" i="24" s="1"/>
  <c r="AS233" i="24" s="1"/>
  <c r="AT233" i="24" s="1"/>
  <c r="AU233" i="24" s="1"/>
  <c r="AV233" i="24" s="1"/>
  <c r="AW233" i="24" s="1"/>
  <c r="AX233" i="24" s="1"/>
  <c r="AY233" i="24" s="1"/>
  <c r="T235" i="24"/>
  <c r="U235" i="24" s="1"/>
  <c r="V235" i="24" s="1"/>
  <c r="W235" i="24" s="1"/>
  <c r="X235" i="24" s="1"/>
  <c r="Y235" i="24" s="1"/>
  <c r="Z235" i="24" s="1"/>
  <c r="AA235" i="24" s="1"/>
  <c r="AB235" i="24" s="1"/>
  <c r="AC235" i="24" s="1"/>
  <c r="AD235" i="24" s="1"/>
  <c r="AE235" i="24" s="1"/>
  <c r="AF235" i="24" s="1"/>
  <c r="AG235" i="24" s="1"/>
  <c r="AH235" i="24" s="1"/>
  <c r="AI235" i="24" s="1"/>
  <c r="AJ235" i="24" s="1"/>
  <c r="AK235" i="24" s="1"/>
  <c r="AL235" i="24" s="1"/>
  <c r="AM235" i="24" s="1"/>
  <c r="AN235" i="24" s="1"/>
  <c r="AO235" i="24" s="1"/>
  <c r="AP235" i="24" s="1"/>
  <c r="AQ235" i="24" s="1"/>
  <c r="AR235" i="24" s="1"/>
  <c r="AS235" i="24" s="1"/>
  <c r="AT235" i="24" s="1"/>
  <c r="AU235" i="24" s="1"/>
  <c r="AV235" i="24" s="1"/>
  <c r="AW235" i="24" s="1"/>
  <c r="AX235" i="24" s="1"/>
  <c r="AY235" i="24" s="1"/>
  <c r="T236" i="24"/>
  <c r="U236" i="24" s="1"/>
  <c r="V236" i="24" s="1"/>
  <c r="W236" i="24" s="1"/>
  <c r="X236" i="24" s="1"/>
  <c r="Y236" i="24" s="1"/>
  <c r="Z236" i="24" s="1"/>
  <c r="AA236" i="24" s="1"/>
  <c r="AB236" i="24" s="1"/>
  <c r="AC236" i="24" s="1"/>
  <c r="AD236" i="24" s="1"/>
  <c r="AE236" i="24" s="1"/>
  <c r="AF236" i="24" s="1"/>
  <c r="AG236" i="24" s="1"/>
  <c r="AH236" i="24" s="1"/>
  <c r="AI236" i="24" s="1"/>
  <c r="AJ236" i="24" s="1"/>
  <c r="AK236" i="24" s="1"/>
  <c r="AL236" i="24" s="1"/>
  <c r="AM236" i="24" s="1"/>
  <c r="AN236" i="24" s="1"/>
  <c r="AO236" i="24" s="1"/>
  <c r="AP236" i="24" s="1"/>
  <c r="AQ236" i="24" s="1"/>
  <c r="AR236" i="24" s="1"/>
  <c r="AS236" i="24" s="1"/>
  <c r="AT236" i="24" s="1"/>
  <c r="AU236" i="24" s="1"/>
  <c r="AV236" i="24" s="1"/>
  <c r="AW236" i="24" s="1"/>
  <c r="AX236" i="24" s="1"/>
  <c r="AY236" i="24" s="1"/>
  <c r="AS91" i="17"/>
  <c r="T314" i="14"/>
  <c r="T305" i="14"/>
  <c r="T311" i="14"/>
  <c r="T312" i="14"/>
  <c r="T308" i="14"/>
  <c r="Y184" i="14"/>
  <c r="T329" i="14"/>
  <c r="U329" i="14"/>
  <c r="V329" i="14"/>
  <c r="Y177" i="14"/>
  <c r="T322" i="14"/>
  <c r="U322" i="14"/>
  <c r="V322" i="14"/>
  <c r="Y186" i="14"/>
  <c r="T331" i="14"/>
  <c r="U331" i="14"/>
  <c r="V331" i="14"/>
  <c r="T306" i="14"/>
  <c r="Y174" i="14"/>
  <c r="T319" i="14"/>
  <c r="U319" i="14"/>
  <c r="V319" i="14"/>
  <c r="Y176" i="14"/>
  <c r="T321" i="14"/>
  <c r="U321" i="14"/>
  <c r="V321" i="14"/>
  <c r="Y185" i="14"/>
  <c r="T330" i="14"/>
  <c r="U330" i="14"/>
  <c r="V330" i="14"/>
  <c r="Y178" i="14"/>
  <c r="T323" i="14"/>
  <c r="U323" i="14"/>
  <c r="V323" i="14"/>
  <c r="T307" i="14"/>
  <c r="T310" i="14"/>
  <c r="T316" i="14"/>
  <c r="Y180" i="14"/>
  <c r="T325" i="14"/>
  <c r="U325" i="14"/>
  <c r="V325" i="14"/>
  <c r="Y183" i="14"/>
  <c r="T328" i="14"/>
  <c r="U328" i="14"/>
  <c r="V328" i="14"/>
  <c r="Y181" i="14"/>
  <c r="T326" i="14"/>
  <c r="U326" i="14"/>
  <c r="V326" i="14"/>
  <c r="T303" i="14"/>
  <c r="T313" i="14"/>
  <c r="Y175" i="14"/>
  <c r="T320" i="14"/>
  <c r="U320" i="14"/>
  <c r="V320" i="14"/>
  <c r="Y173" i="14"/>
  <c r="T318" i="14"/>
  <c r="U318" i="14"/>
  <c r="V318" i="14"/>
  <c r="T324" i="14"/>
  <c r="U324" i="14"/>
  <c r="V324" i="14"/>
  <c r="Y182" i="14"/>
  <c r="T327" i="14"/>
  <c r="U327" i="14"/>
  <c r="V327" i="14"/>
  <c r="T309" i="14"/>
  <c r="T315" i="14"/>
  <c r="T304" i="14"/>
  <c r="P75" i="13"/>
  <c r="BI75" i="13" s="1"/>
  <c r="BI106" i="13" s="1"/>
  <c r="P80" i="13"/>
  <c r="S80" i="13" s="1"/>
  <c r="P87" i="13"/>
  <c r="BC87" i="13" s="1"/>
  <c r="BC118" i="13" s="1"/>
  <c r="P86" i="13"/>
  <c r="BE86" i="13" s="1"/>
  <c r="BE117" i="13" s="1"/>
  <c r="P79" i="13"/>
  <c r="S79" i="13" s="1"/>
  <c r="P93" i="13"/>
  <c r="S93" i="13" s="1"/>
  <c r="P91" i="13"/>
  <c r="S91" i="13" s="1"/>
  <c r="P85" i="13"/>
  <c r="BC85" i="13" s="1"/>
  <c r="P92" i="13"/>
  <c r="S92" i="13" s="1"/>
  <c r="P90" i="13"/>
  <c r="S90" i="13" s="1"/>
  <c r="P74" i="13"/>
  <c r="BG74" i="13" s="1"/>
  <c r="BG105" i="13" s="1"/>
  <c r="P73" i="13"/>
  <c r="BI73" i="13" s="1"/>
  <c r="BI104" i="13" s="1"/>
  <c r="P78" i="13"/>
  <c r="S78" i="13" s="1"/>
  <c r="P76" i="13"/>
  <c r="BG76" i="13" s="1"/>
  <c r="BG107" i="13" s="1"/>
  <c r="BB12" i="17"/>
  <c r="BA253" i="17"/>
  <c r="AH8" i="19"/>
  <c r="AH12" i="19" s="1"/>
  <c r="BB59" i="14"/>
  <c r="AV75" i="13"/>
  <c r="AV106" i="13" s="1"/>
  <c r="BI88" i="13"/>
  <c r="BI119" i="13" s="1"/>
  <c r="BE88" i="13"/>
  <c r="BE119" i="13" s="1"/>
  <c r="BA88" i="13"/>
  <c r="BA119" i="13" s="1"/>
  <c r="AW88" i="13"/>
  <c r="AW119" i="13" s="1"/>
  <c r="AS88" i="13"/>
  <c r="AS119" i="13" s="1"/>
  <c r="AO88" i="13"/>
  <c r="AO119" i="13" s="1"/>
  <c r="AK88" i="13"/>
  <c r="AK119" i="13" s="1"/>
  <c r="AG88" i="13"/>
  <c r="AG119" i="13" s="1"/>
  <c r="AC88" i="13"/>
  <c r="AC119" i="13" s="1"/>
  <c r="Y88" i="13"/>
  <c r="Y119" i="13" s="1"/>
  <c r="U88" i="13"/>
  <c r="U119" i="13" s="1"/>
  <c r="BH88" i="13"/>
  <c r="BH119" i="13" s="1"/>
  <c r="BD88" i="13"/>
  <c r="BD119" i="13" s="1"/>
  <c r="AZ88" i="13"/>
  <c r="AZ119" i="13" s="1"/>
  <c r="AV88" i="13"/>
  <c r="AV119" i="13" s="1"/>
  <c r="AR88" i="13"/>
  <c r="AR119" i="13" s="1"/>
  <c r="AN88" i="13"/>
  <c r="AN119" i="13" s="1"/>
  <c r="AJ88" i="13"/>
  <c r="AJ119" i="13" s="1"/>
  <c r="AF88" i="13"/>
  <c r="AF119" i="13" s="1"/>
  <c r="AB88" i="13"/>
  <c r="AB119" i="13" s="1"/>
  <c r="X88" i="13"/>
  <c r="X119" i="13" s="1"/>
  <c r="T88" i="13"/>
  <c r="T119" i="13" s="1"/>
  <c r="BC88" i="13"/>
  <c r="BC119" i="13" s="1"/>
  <c r="AU88" i="13"/>
  <c r="AU119" i="13" s="1"/>
  <c r="AM88" i="13"/>
  <c r="AM119" i="13" s="1"/>
  <c r="AE88" i="13"/>
  <c r="AE119" i="13" s="1"/>
  <c r="W88" i="13"/>
  <c r="W119" i="13" s="1"/>
  <c r="BB88" i="13"/>
  <c r="BB119" i="13" s="1"/>
  <c r="AT88" i="13"/>
  <c r="AT119" i="13" s="1"/>
  <c r="AL88" i="13"/>
  <c r="AL119" i="13" s="1"/>
  <c r="AD88" i="13"/>
  <c r="AD119" i="13" s="1"/>
  <c r="V88" i="13"/>
  <c r="V119" i="13" s="1"/>
  <c r="AY88" i="13"/>
  <c r="AY119" i="13" s="1"/>
  <c r="AI88" i="13"/>
  <c r="AI119" i="13" s="1"/>
  <c r="S88" i="13"/>
  <c r="BF88" i="13"/>
  <c r="BF119" i="13" s="1"/>
  <c r="Z88" i="13"/>
  <c r="Z119" i="13" s="1"/>
  <c r="AX88" i="13"/>
  <c r="AX119" i="13" s="1"/>
  <c r="AH88" i="13"/>
  <c r="AH119" i="13" s="1"/>
  <c r="BG88" i="13"/>
  <c r="BG119" i="13" s="1"/>
  <c r="AQ88" i="13"/>
  <c r="AQ119" i="13" s="1"/>
  <c r="AA88" i="13"/>
  <c r="AA119" i="13" s="1"/>
  <c r="AP88" i="13"/>
  <c r="AP119" i="13" s="1"/>
  <c r="X228" i="14"/>
  <c r="AH46" i="31"/>
  <c r="AH13" i="30"/>
  <c r="AO46" i="31"/>
  <c r="AO13" i="30"/>
  <c r="Y46" i="31"/>
  <c r="Y13" i="30"/>
  <c r="AB46" i="31"/>
  <c r="AB13" i="30"/>
  <c r="AU46" i="31"/>
  <c r="AU13" i="30"/>
  <c r="AM46" i="31"/>
  <c r="AM13" i="30"/>
  <c r="AE46" i="31"/>
  <c r="AE13" i="30"/>
  <c r="W46" i="31"/>
  <c r="W13" i="30"/>
  <c r="AP46" i="31"/>
  <c r="AP13" i="30"/>
  <c r="AR46" i="31"/>
  <c r="AR13" i="30"/>
  <c r="AT46" i="31"/>
  <c r="AT13" i="30"/>
  <c r="V46" i="31"/>
  <c r="V13" i="30"/>
  <c r="AS46" i="31"/>
  <c r="AS13" i="30"/>
  <c r="AK46" i="31"/>
  <c r="AK13" i="30"/>
  <c r="AC46" i="31"/>
  <c r="AC13" i="30"/>
  <c r="AV46" i="31"/>
  <c r="AV13" i="30"/>
  <c r="AN46" i="31"/>
  <c r="AN13" i="30"/>
  <c r="AF46" i="31"/>
  <c r="AF13" i="30"/>
  <c r="X46" i="31"/>
  <c r="X13" i="30"/>
  <c r="AX46" i="31"/>
  <c r="AX13" i="30"/>
  <c r="Z46" i="31"/>
  <c r="Z13" i="30"/>
  <c r="AW46" i="31"/>
  <c r="AW13" i="30"/>
  <c r="AG46" i="31"/>
  <c r="AG13" i="30"/>
  <c r="AJ46" i="31"/>
  <c r="AJ13" i="30"/>
  <c r="AL46" i="31"/>
  <c r="AL13" i="30"/>
  <c r="AD46" i="31"/>
  <c r="AD13" i="30"/>
  <c r="AY46" i="31"/>
  <c r="AY13" i="30"/>
  <c r="AQ46" i="31"/>
  <c r="AQ13" i="30"/>
  <c r="AI46" i="31"/>
  <c r="AI13" i="30"/>
  <c r="AA46" i="31"/>
  <c r="AA13" i="30"/>
  <c r="U46" i="31"/>
  <c r="U13" i="30"/>
  <c r="S46" i="31"/>
  <c r="S68" i="31" s="1"/>
  <c r="T68" i="31" s="1"/>
  <c r="W228" i="14"/>
  <c r="T228" i="14"/>
  <c r="X179" i="14"/>
  <c r="V228" i="14"/>
  <c r="R63" i="8"/>
  <c r="R224" i="24"/>
  <c r="S224" i="24" s="1"/>
  <c r="T224" i="24" s="1"/>
  <c r="U224" i="24" s="1"/>
  <c r="V224" i="24" s="1"/>
  <c r="W224" i="24" s="1"/>
  <c r="X224" i="24" s="1"/>
  <c r="Y224" i="24" s="1"/>
  <c r="Z224" i="24" s="1"/>
  <c r="AA224" i="24" s="1"/>
  <c r="AB224" i="24" s="1"/>
  <c r="AC224" i="24" s="1"/>
  <c r="AD224" i="24" s="1"/>
  <c r="AE224" i="24" s="1"/>
  <c r="AF224" i="24" s="1"/>
  <c r="AG224" i="24" s="1"/>
  <c r="AH224" i="24" s="1"/>
  <c r="AI224" i="24" s="1"/>
  <c r="AJ224" i="24" s="1"/>
  <c r="AK224" i="24" s="1"/>
  <c r="AL224" i="24" s="1"/>
  <c r="AM224" i="24" s="1"/>
  <c r="AN224" i="24" s="1"/>
  <c r="AO224" i="24" s="1"/>
  <c r="AP224" i="24" s="1"/>
  <c r="AQ224" i="24" s="1"/>
  <c r="AR224" i="24" s="1"/>
  <c r="AS224" i="24" s="1"/>
  <c r="AT224" i="24" s="1"/>
  <c r="AU224" i="24" s="1"/>
  <c r="AV224" i="24" s="1"/>
  <c r="AW224" i="24" s="1"/>
  <c r="AX224" i="24" s="1"/>
  <c r="AY224" i="24" s="1"/>
  <c r="R225" i="24"/>
  <c r="S225" i="24" s="1"/>
  <c r="T225" i="24" s="1"/>
  <c r="U225" i="24" s="1"/>
  <c r="V225" i="24" s="1"/>
  <c r="W225" i="24" s="1"/>
  <c r="X225" i="24" s="1"/>
  <c r="Y225" i="24" s="1"/>
  <c r="Z225" i="24" s="1"/>
  <c r="AA225" i="24" s="1"/>
  <c r="AB225" i="24" s="1"/>
  <c r="AC225" i="24" s="1"/>
  <c r="AD225" i="24" s="1"/>
  <c r="AE225" i="24" s="1"/>
  <c r="AF225" i="24" s="1"/>
  <c r="AG225" i="24" s="1"/>
  <c r="AH225" i="24" s="1"/>
  <c r="AI225" i="24" s="1"/>
  <c r="AJ225" i="24" s="1"/>
  <c r="AK225" i="24" s="1"/>
  <c r="AL225" i="24" s="1"/>
  <c r="AM225" i="24" s="1"/>
  <c r="AN225" i="24" s="1"/>
  <c r="AO225" i="24" s="1"/>
  <c r="AP225" i="24" s="1"/>
  <c r="AQ225" i="24" s="1"/>
  <c r="AR225" i="24" s="1"/>
  <c r="AS225" i="24" s="1"/>
  <c r="AT225" i="24" s="1"/>
  <c r="AU225" i="24" s="1"/>
  <c r="AV225" i="24" s="1"/>
  <c r="AW225" i="24" s="1"/>
  <c r="AX225" i="24" s="1"/>
  <c r="AY225" i="24" s="1"/>
  <c r="R227" i="24"/>
  <c r="S227" i="24" s="1"/>
  <c r="T227" i="24" s="1"/>
  <c r="U227" i="24" s="1"/>
  <c r="V227" i="24" s="1"/>
  <c r="W227" i="24" s="1"/>
  <c r="X227" i="24" s="1"/>
  <c r="Y227" i="24" s="1"/>
  <c r="Z227" i="24" s="1"/>
  <c r="AA227" i="24" s="1"/>
  <c r="AB227" i="24" s="1"/>
  <c r="AC227" i="24" s="1"/>
  <c r="AD227" i="24" s="1"/>
  <c r="AE227" i="24" s="1"/>
  <c r="AF227" i="24" s="1"/>
  <c r="AG227" i="24" s="1"/>
  <c r="AH227" i="24" s="1"/>
  <c r="AI227" i="24" s="1"/>
  <c r="AJ227" i="24" s="1"/>
  <c r="AK227" i="24" s="1"/>
  <c r="AL227" i="24" s="1"/>
  <c r="AM227" i="24" s="1"/>
  <c r="AN227" i="24" s="1"/>
  <c r="AO227" i="24" s="1"/>
  <c r="AP227" i="24" s="1"/>
  <c r="AQ227" i="24" s="1"/>
  <c r="AR227" i="24" s="1"/>
  <c r="AS227" i="24" s="1"/>
  <c r="AT227" i="24" s="1"/>
  <c r="AU227" i="24" s="1"/>
  <c r="AV227" i="24" s="1"/>
  <c r="AW227" i="24" s="1"/>
  <c r="AX227" i="24" s="1"/>
  <c r="AY227" i="24" s="1"/>
  <c r="R226" i="24"/>
  <c r="S226" i="24" s="1"/>
  <c r="T226" i="24" s="1"/>
  <c r="U226" i="24" s="1"/>
  <c r="V226" i="24" s="1"/>
  <c r="W226" i="24" s="1"/>
  <c r="X226" i="24" s="1"/>
  <c r="Y226" i="24" s="1"/>
  <c r="Z226" i="24" s="1"/>
  <c r="AA226" i="24" s="1"/>
  <c r="AB226" i="24" s="1"/>
  <c r="AC226" i="24" s="1"/>
  <c r="AD226" i="24" s="1"/>
  <c r="AE226" i="24" s="1"/>
  <c r="AF226" i="24" s="1"/>
  <c r="AG226" i="24" s="1"/>
  <c r="AH226" i="24" s="1"/>
  <c r="AI226" i="24" s="1"/>
  <c r="AJ226" i="24" s="1"/>
  <c r="AK226" i="24" s="1"/>
  <c r="AL226" i="24" s="1"/>
  <c r="AM226" i="24" s="1"/>
  <c r="AN226" i="24" s="1"/>
  <c r="AO226" i="24" s="1"/>
  <c r="AP226" i="24" s="1"/>
  <c r="AQ226" i="24" s="1"/>
  <c r="AR226" i="24" s="1"/>
  <c r="AS226" i="24" s="1"/>
  <c r="AT226" i="24" s="1"/>
  <c r="AU226" i="24" s="1"/>
  <c r="AV226" i="24" s="1"/>
  <c r="AW226" i="24" s="1"/>
  <c r="AX226" i="24" s="1"/>
  <c r="AY226" i="24" s="1"/>
  <c r="R228" i="24"/>
  <c r="S228" i="24" s="1"/>
  <c r="T228" i="24" s="1"/>
  <c r="U228" i="24" s="1"/>
  <c r="V228" i="24" s="1"/>
  <c r="W228" i="24" s="1"/>
  <c r="X228" i="24" s="1"/>
  <c r="Y228" i="24" s="1"/>
  <c r="Z228" i="24" s="1"/>
  <c r="AA228" i="24" s="1"/>
  <c r="AB228" i="24" s="1"/>
  <c r="AC228" i="24" s="1"/>
  <c r="AD228" i="24" s="1"/>
  <c r="AE228" i="24" s="1"/>
  <c r="AF228" i="24" s="1"/>
  <c r="AG228" i="24" s="1"/>
  <c r="AH228" i="24" s="1"/>
  <c r="AI228" i="24" s="1"/>
  <c r="AJ228" i="24" s="1"/>
  <c r="AK228" i="24" s="1"/>
  <c r="AL228" i="24" s="1"/>
  <c r="AM228" i="24" s="1"/>
  <c r="AN228" i="24" s="1"/>
  <c r="AO228" i="24" s="1"/>
  <c r="AP228" i="24" s="1"/>
  <c r="AQ228" i="24" s="1"/>
  <c r="AR228" i="24" s="1"/>
  <c r="AS228" i="24" s="1"/>
  <c r="AT228" i="24" s="1"/>
  <c r="AU228" i="24" s="1"/>
  <c r="AV228" i="24" s="1"/>
  <c r="AW228" i="24" s="1"/>
  <c r="AX228" i="24" s="1"/>
  <c r="AY228" i="24" s="1"/>
  <c r="R108" i="23"/>
  <c r="S108" i="23" s="1"/>
  <c r="T108" i="23" s="1"/>
  <c r="U108" i="23" s="1"/>
  <c r="V108" i="23" s="1"/>
  <c r="R176" i="24"/>
  <c r="S176" i="24" s="1"/>
  <c r="T176" i="24" s="1"/>
  <c r="R179" i="24"/>
  <c r="S179" i="24" s="1"/>
  <c r="T179" i="24" s="1"/>
  <c r="R110" i="23"/>
  <c r="S110" i="23" s="1"/>
  <c r="T110" i="23" s="1"/>
  <c r="U110" i="23" s="1"/>
  <c r="V110" i="23" s="1"/>
  <c r="R109" i="23"/>
  <c r="S109" i="23" s="1"/>
  <c r="T109" i="23" s="1"/>
  <c r="U109" i="23" s="1"/>
  <c r="V109" i="23" s="1"/>
  <c r="R107" i="23"/>
  <c r="S107" i="23" s="1"/>
  <c r="T107" i="23" s="1"/>
  <c r="U107" i="23" s="1"/>
  <c r="V107" i="23" s="1"/>
  <c r="R151" i="24"/>
  <c r="S151" i="24" s="1"/>
  <c r="T151" i="24" s="1"/>
  <c r="R167" i="24"/>
  <c r="S167" i="24" s="1"/>
  <c r="T167" i="24" s="1"/>
  <c r="R178" i="24"/>
  <c r="R102" i="23"/>
  <c r="S102" i="23" s="1"/>
  <c r="T102" i="23" s="1"/>
  <c r="T123" i="23" s="1"/>
  <c r="T136" i="23" s="1"/>
  <c r="R104" i="23"/>
  <c r="S104" i="23" s="1"/>
  <c r="T104" i="23" s="1"/>
  <c r="U104" i="23" s="1"/>
  <c r="V104" i="23" s="1"/>
  <c r="W104" i="23" s="1"/>
  <c r="X104" i="23" s="1"/>
  <c r="Y104" i="23" s="1"/>
  <c r="Z104" i="23" s="1"/>
  <c r="AA104" i="23" s="1"/>
  <c r="AB104" i="23" s="1"/>
  <c r="AC104" i="23" s="1"/>
  <c r="AD104" i="23" s="1"/>
  <c r="AE104" i="23" s="1"/>
  <c r="AF104" i="23" s="1"/>
  <c r="AG104" i="23" s="1"/>
  <c r="AH104" i="23" s="1"/>
  <c r="AI104" i="23" s="1"/>
  <c r="AJ104" i="23" s="1"/>
  <c r="AK104" i="23" s="1"/>
  <c r="AL104" i="23" s="1"/>
  <c r="AM104" i="23" s="1"/>
  <c r="AN104" i="23" s="1"/>
  <c r="AO104" i="23" s="1"/>
  <c r="AP104" i="23" s="1"/>
  <c r="AQ104" i="23" s="1"/>
  <c r="AR104" i="23" s="1"/>
  <c r="AS104" i="23" s="1"/>
  <c r="AT104" i="23" s="1"/>
  <c r="AU104" i="23" s="1"/>
  <c r="AV104" i="23" s="1"/>
  <c r="AW104" i="23" s="1"/>
  <c r="AX104" i="23" s="1"/>
  <c r="AY104" i="23" s="1"/>
  <c r="R128" i="24"/>
  <c r="S128" i="24" s="1"/>
  <c r="T128" i="24" s="1"/>
  <c r="R125" i="24"/>
  <c r="S125" i="24" s="1"/>
  <c r="T125" i="24" s="1"/>
  <c r="R142" i="24"/>
  <c r="S142" i="24" s="1"/>
  <c r="T142" i="24" s="1"/>
  <c r="R153" i="24"/>
  <c r="R183" i="24"/>
  <c r="S183" i="24" s="1"/>
  <c r="T183" i="24" s="1"/>
  <c r="R150" i="24"/>
  <c r="R154" i="24"/>
  <c r="S154" i="24" s="1"/>
  <c r="T154" i="24" s="1"/>
  <c r="R115" i="24"/>
  <c r="R161" i="24"/>
  <c r="S161" i="24" s="1"/>
  <c r="T161" i="24" s="1"/>
  <c r="R175" i="24"/>
  <c r="R127" i="24"/>
  <c r="R116" i="24"/>
  <c r="S116" i="24" s="1"/>
  <c r="T116" i="24" s="1"/>
  <c r="R124" i="24"/>
  <c r="R166" i="24"/>
  <c r="R141" i="24"/>
  <c r="R135" i="24"/>
  <c r="S135" i="24" s="1"/>
  <c r="T135" i="24" s="1"/>
  <c r="R122" i="24"/>
  <c r="S122" i="24" s="1"/>
  <c r="T122" i="24" s="1"/>
  <c r="R131" i="24"/>
  <c r="R157" i="24"/>
  <c r="R172" i="24"/>
  <c r="R132" i="24"/>
  <c r="S132" i="24" s="1"/>
  <c r="T132" i="24" s="1"/>
  <c r="R147" i="24"/>
  <c r="R148" i="24"/>
  <c r="S148" i="24" s="1"/>
  <c r="T148" i="24" s="1"/>
  <c r="R134" i="24"/>
  <c r="R158" i="24"/>
  <c r="S158" i="24" s="1"/>
  <c r="T158" i="24" s="1"/>
  <c r="R182" i="24"/>
  <c r="R173" i="24"/>
  <c r="S173" i="24" s="1"/>
  <c r="T173" i="24" s="1"/>
  <c r="R186" i="24"/>
  <c r="S186" i="24" s="1"/>
  <c r="T186" i="24" s="1"/>
  <c r="R121" i="24"/>
  <c r="R160" i="24"/>
  <c r="R185" i="24"/>
  <c r="R103" i="23"/>
  <c r="S103" i="23" s="1"/>
  <c r="T103" i="23" s="1"/>
  <c r="R144" i="24"/>
  <c r="R145" i="24"/>
  <c r="S145" i="24" s="1"/>
  <c r="T145" i="24" s="1"/>
  <c r="R169" i="24"/>
  <c r="R170" i="24"/>
  <c r="S170" i="24" s="1"/>
  <c r="T170" i="24" s="1"/>
  <c r="R119" i="24"/>
  <c r="S119" i="24" s="1"/>
  <c r="T119" i="24" s="1"/>
  <c r="R118" i="24"/>
  <c r="R61" i="16"/>
  <c r="S61" i="16" s="1"/>
  <c r="T61" i="16" s="1"/>
  <c r="U61" i="16" s="1"/>
  <c r="V61" i="16" s="1"/>
  <c r="W61" i="16" s="1"/>
  <c r="X61" i="16" s="1"/>
  <c r="Y61" i="16" s="1"/>
  <c r="Z61" i="16" s="1"/>
  <c r="AA61" i="16" s="1"/>
  <c r="AB61" i="16" s="1"/>
  <c r="AC61" i="16" s="1"/>
  <c r="AD61" i="16" s="1"/>
  <c r="AE61" i="16" s="1"/>
  <c r="AF61" i="16" s="1"/>
  <c r="AG61" i="16" s="1"/>
  <c r="AH61" i="16" s="1"/>
  <c r="AI61" i="16" s="1"/>
  <c r="AJ61" i="16" s="1"/>
  <c r="AK61" i="16" s="1"/>
  <c r="AL61" i="16" s="1"/>
  <c r="AM61" i="16" s="1"/>
  <c r="AN61" i="16" s="1"/>
  <c r="AO61" i="16" s="1"/>
  <c r="AP61" i="16" s="1"/>
  <c r="AQ61" i="16" s="1"/>
  <c r="AR61" i="16" s="1"/>
  <c r="AS61" i="16" s="1"/>
  <c r="AT61" i="16" s="1"/>
  <c r="AU61" i="16" s="1"/>
  <c r="AV61" i="16" s="1"/>
  <c r="AW61" i="16" s="1"/>
  <c r="AX61" i="16" s="1"/>
  <c r="AY61" i="16" s="1"/>
  <c r="R57" i="16"/>
  <c r="S57" i="16" s="1"/>
  <c r="T57" i="16" s="1"/>
  <c r="U57" i="16" s="1"/>
  <c r="V57" i="16" s="1"/>
  <c r="W57" i="16" s="1"/>
  <c r="X57" i="16" s="1"/>
  <c r="Y57" i="16" s="1"/>
  <c r="Z57" i="16" s="1"/>
  <c r="AA57" i="16" s="1"/>
  <c r="AB57" i="16" s="1"/>
  <c r="AC57" i="16" s="1"/>
  <c r="AD57" i="16" s="1"/>
  <c r="AE57" i="16" s="1"/>
  <c r="AF57" i="16" s="1"/>
  <c r="AG57" i="16" s="1"/>
  <c r="AH57" i="16" s="1"/>
  <c r="AI57" i="16" s="1"/>
  <c r="AJ57" i="16" s="1"/>
  <c r="AK57" i="16" s="1"/>
  <c r="AL57" i="16" s="1"/>
  <c r="AM57" i="16" s="1"/>
  <c r="AN57" i="16" s="1"/>
  <c r="AO57" i="16" s="1"/>
  <c r="AP57" i="16" s="1"/>
  <c r="AQ57" i="16" s="1"/>
  <c r="AR57" i="16" s="1"/>
  <c r="AS57" i="16" s="1"/>
  <c r="AT57" i="16" s="1"/>
  <c r="AU57" i="16" s="1"/>
  <c r="AV57" i="16" s="1"/>
  <c r="AW57" i="16" s="1"/>
  <c r="AX57" i="16" s="1"/>
  <c r="AY57" i="16" s="1"/>
  <c r="R53" i="16"/>
  <c r="S53" i="16" s="1"/>
  <c r="T53" i="16" s="1"/>
  <c r="U53" i="16" s="1"/>
  <c r="V53" i="16" s="1"/>
  <c r="W53" i="16" s="1"/>
  <c r="X53" i="16" s="1"/>
  <c r="Y53" i="16" s="1"/>
  <c r="Z53" i="16" s="1"/>
  <c r="AA53" i="16" s="1"/>
  <c r="AB53" i="16" s="1"/>
  <c r="AC53" i="16" s="1"/>
  <c r="AD53" i="16" s="1"/>
  <c r="AE53" i="16" s="1"/>
  <c r="AF53" i="16" s="1"/>
  <c r="AG53" i="16" s="1"/>
  <c r="AH53" i="16" s="1"/>
  <c r="AI53" i="16" s="1"/>
  <c r="AJ53" i="16" s="1"/>
  <c r="AK53" i="16" s="1"/>
  <c r="AL53" i="16" s="1"/>
  <c r="AM53" i="16" s="1"/>
  <c r="AN53" i="16" s="1"/>
  <c r="AO53" i="16" s="1"/>
  <c r="AP53" i="16" s="1"/>
  <c r="AQ53" i="16" s="1"/>
  <c r="AR53" i="16" s="1"/>
  <c r="AS53" i="16" s="1"/>
  <c r="AT53" i="16" s="1"/>
  <c r="AU53" i="16" s="1"/>
  <c r="AV53" i="16" s="1"/>
  <c r="AW53" i="16" s="1"/>
  <c r="AX53" i="16" s="1"/>
  <c r="AY53" i="16" s="1"/>
  <c r="R56" i="16"/>
  <c r="S56" i="16" s="1"/>
  <c r="T56" i="16" s="1"/>
  <c r="U56" i="16" s="1"/>
  <c r="V56" i="16" s="1"/>
  <c r="W56" i="16" s="1"/>
  <c r="X56" i="16" s="1"/>
  <c r="Y56" i="16" s="1"/>
  <c r="Z56" i="16" s="1"/>
  <c r="AA56" i="16" s="1"/>
  <c r="AB56" i="16" s="1"/>
  <c r="AC56" i="16" s="1"/>
  <c r="AD56" i="16" s="1"/>
  <c r="AE56" i="16" s="1"/>
  <c r="AF56" i="16" s="1"/>
  <c r="AG56" i="16" s="1"/>
  <c r="AH56" i="16" s="1"/>
  <c r="AI56" i="16" s="1"/>
  <c r="AJ56" i="16" s="1"/>
  <c r="AK56" i="16" s="1"/>
  <c r="AL56" i="16" s="1"/>
  <c r="AM56" i="16" s="1"/>
  <c r="AN56" i="16" s="1"/>
  <c r="AO56" i="16" s="1"/>
  <c r="AP56" i="16" s="1"/>
  <c r="AQ56" i="16" s="1"/>
  <c r="AR56" i="16" s="1"/>
  <c r="AS56" i="16" s="1"/>
  <c r="AT56" i="16" s="1"/>
  <c r="AU56" i="16" s="1"/>
  <c r="AV56" i="16" s="1"/>
  <c r="AW56" i="16" s="1"/>
  <c r="AX56" i="16" s="1"/>
  <c r="AY56" i="16" s="1"/>
  <c r="R60" i="16"/>
  <c r="S60" i="16" s="1"/>
  <c r="T60" i="16" s="1"/>
  <c r="U60" i="16" s="1"/>
  <c r="V60" i="16" s="1"/>
  <c r="W60" i="16" s="1"/>
  <c r="X60" i="16" s="1"/>
  <c r="Y60" i="16" s="1"/>
  <c r="Z60" i="16" s="1"/>
  <c r="AA60" i="16" s="1"/>
  <c r="AB60" i="16" s="1"/>
  <c r="AC60" i="16" s="1"/>
  <c r="AD60" i="16" s="1"/>
  <c r="AE60" i="16" s="1"/>
  <c r="AF60" i="16" s="1"/>
  <c r="AG60" i="16" s="1"/>
  <c r="AH60" i="16" s="1"/>
  <c r="AI60" i="16" s="1"/>
  <c r="AJ60" i="16" s="1"/>
  <c r="AK60" i="16" s="1"/>
  <c r="AL60" i="16" s="1"/>
  <c r="AM60" i="16" s="1"/>
  <c r="AN60" i="16" s="1"/>
  <c r="AO60" i="16" s="1"/>
  <c r="AP60" i="16" s="1"/>
  <c r="AQ60" i="16" s="1"/>
  <c r="AR60" i="16" s="1"/>
  <c r="AS60" i="16" s="1"/>
  <c r="AT60" i="16" s="1"/>
  <c r="AU60" i="16" s="1"/>
  <c r="AV60" i="16" s="1"/>
  <c r="AW60" i="16" s="1"/>
  <c r="AX60" i="16" s="1"/>
  <c r="AY60" i="16" s="1"/>
  <c r="R55" i="16"/>
  <c r="S55" i="16" s="1"/>
  <c r="T55" i="16" s="1"/>
  <c r="U55" i="16" s="1"/>
  <c r="V55" i="16" s="1"/>
  <c r="W55" i="16" s="1"/>
  <c r="X55" i="16" s="1"/>
  <c r="Y55" i="16" s="1"/>
  <c r="Z55" i="16" s="1"/>
  <c r="AA55" i="16" s="1"/>
  <c r="AB55" i="16" s="1"/>
  <c r="AC55" i="16" s="1"/>
  <c r="AD55" i="16" s="1"/>
  <c r="AE55" i="16" s="1"/>
  <c r="AF55" i="16" s="1"/>
  <c r="AG55" i="16" s="1"/>
  <c r="AH55" i="16" s="1"/>
  <c r="AI55" i="16" s="1"/>
  <c r="AJ55" i="16" s="1"/>
  <c r="AK55" i="16" s="1"/>
  <c r="AL55" i="16" s="1"/>
  <c r="AM55" i="16" s="1"/>
  <c r="AN55" i="16" s="1"/>
  <c r="AO55" i="16" s="1"/>
  <c r="AP55" i="16" s="1"/>
  <c r="AQ55" i="16" s="1"/>
  <c r="AR55" i="16" s="1"/>
  <c r="AS55" i="16" s="1"/>
  <c r="AT55" i="16" s="1"/>
  <c r="AU55" i="16" s="1"/>
  <c r="AV55" i="16" s="1"/>
  <c r="AW55" i="16" s="1"/>
  <c r="AX55" i="16" s="1"/>
  <c r="AY55" i="16" s="1"/>
  <c r="R54" i="16"/>
  <c r="S54" i="16" s="1"/>
  <c r="T54" i="16" s="1"/>
  <c r="U54" i="16" s="1"/>
  <c r="V54" i="16" s="1"/>
  <c r="W54" i="16" s="1"/>
  <c r="X54" i="16" s="1"/>
  <c r="Y54" i="16" s="1"/>
  <c r="Z54" i="16" s="1"/>
  <c r="AA54" i="16" s="1"/>
  <c r="AB54" i="16" s="1"/>
  <c r="AC54" i="16" s="1"/>
  <c r="AD54" i="16" s="1"/>
  <c r="AE54" i="16" s="1"/>
  <c r="AF54" i="16" s="1"/>
  <c r="AG54" i="16" s="1"/>
  <c r="AH54" i="16" s="1"/>
  <c r="AI54" i="16" s="1"/>
  <c r="AJ54" i="16" s="1"/>
  <c r="AK54" i="16" s="1"/>
  <c r="AL54" i="16" s="1"/>
  <c r="AM54" i="16" s="1"/>
  <c r="AN54" i="16" s="1"/>
  <c r="AO54" i="16" s="1"/>
  <c r="AP54" i="16" s="1"/>
  <c r="AQ54" i="16" s="1"/>
  <c r="AR54" i="16" s="1"/>
  <c r="AS54" i="16" s="1"/>
  <c r="AT54" i="16" s="1"/>
  <c r="AU54" i="16" s="1"/>
  <c r="AV54" i="16" s="1"/>
  <c r="AW54" i="16" s="1"/>
  <c r="AX54" i="16" s="1"/>
  <c r="AY54" i="16" s="1"/>
  <c r="R59" i="16"/>
  <c r="S59" i="16" s="1"/>
  <c r="T59" i="16" s="1"/>
  <c r="U59" i="16" s="1"/>
  <c r="V59" i="16" s="1"/>
  <c r="W59" i="16" s="1"/>
  <c r="X59" i="16" s="1"/>
  <c r="Y59" i="16" s="1"/>
  <c r="Z59" i="16" s="1"/>
  <c r="AA59" i="16" s="1"/>
  <c r="AB59" i="16" s="1"/>
  <c r="AC59" i="16" s="1"/>
  <c r="AD59" i="16" s="1"/>
  <c r="AE59" i="16" s="1"/>
  <c r="AF59" i="16" s="1"/>
  <c r="AG59" i="16" s="1"/>
  <c r="AH59" i="16" s="1"/>
  <c r="AI59" i="16" s="1"/>
  <c r="AJ59" i="16" s="1"/>
  <c r="AK59" i="16" s="1"/>
  <c r="AL59" i="16" s="1"/>
  <c r="AM59" i="16" s="1"/>
  <c r="AN59" i="16" s="1"/>
  <c r="AO59" i="16" s="1"/>
  <c r="AP59" i="16" s="1"/>
  <c r="AQ59" i="16" s="1"/>
  <c r="AR59" i="16" s="1"/>
  <c r="AS59" i="16" s="1"/>
  <c r="AT59" i="16" s="1"/>
  <c r="AU59" i="16" s="1"/>
  <c r="AV59" i="16" s="1"/>
  <c r="AW59" i="16" s="1"/>
  <c r="AX59" i="16" s="1"/>
  <c r="AY59" i="16" s="1"/>
  <c r="R58" i="16"/>
  <c r="S58" i="16" s="1"/>
  <c r="T58" i="16" s="1"/>
  <c r="U58" i="16" s="1"/>
  <c r="V58" i="16" s="1"/>
  <c r="W58" i="16" s="1"/>
  <c r="X58" i="16" s="1"/>
  <c r="Y58" i="16" s="1"/>
  <c r="Z58" i="16" s="1"/>
  <c r="AA58" i="16" s="1"/>
  <c r="AB58" i="16" s="1"/>
  <c r="AC58" i="16" s="1"/>
  <c r="AD58" i="16" s="1"/>
  <c r="AE58" i="16" s="1"/>
  <c r="AF58" i="16" s="1"/>
  <c r="AG58" i="16" s="1"/>
  <c r="AH58" i="16" s="1"/>
  <c r="AI58" i="16" s="1"/>
  <c r="AJ58" i="16" s="1"/>
  <c r="AK58" i="16" s="1"/>
  <c r="AL58" i="16" s="1"/>
  <c r="AM58" i="16" s="1"/>
  <c r="AN58" i="16" s="1"/>
  <c r="AO58" i="16" s="1"/>
  <c r="AP58" i="16" s="1"/>
  <c r="AQ58" i="16" s="1"/>
  <c r="AR58" i="16" s="1"/>
  <c r="AS58" i="16" s="1"/>
  <c r="AT58" i="16" s="1"/>
  <c r="AU58" i="16" s="1"/>
  <c r="AV58" i="16" s="1"/>
  <c r="AW58" i="16" s="1"/>
  <c r="AX58" i="16" s="1"/>
  <c r="AY58" i="16" s="1"/>
  <c r="S63" i="8"/>
  <c r="AZ26" i="8"/>
  <c r="T45" i="22"/>
  <c r="U45" i="22" s="1"/>
  <c r="V45" i="22" s="1"/>
  <c r="W45" i="22" s="1"/>
  <c r="X45" i="22" s="1"/>
  <c r="Y45" i="22" s="1"/>
  <c r="Z45" i="22" s="1"/>
  <c r="AA45" i="22" s="1"/>
  <c r="AB45" i="22" s="1"/>
  <c r="AC45" i="22" s="1"/>
  <c r="AD45" i="22" s="1"/>
  <c r="AE45" i="22" s="1"/>
  <c r="AF45" i="22" s="1"/>
  <c r="AG45" i="22" s="1"/>
  <c r="AH45" i="22" s="1"/>
  <c r="AI45" i="22" s="1"/>
  <c r="AJ45" i="22" s="1"/>
  <c r="AK45" i="22" s="1"/>
  <c r="AL45" i="22" s="1"/>
  <c r="AM45" i="22" s="1"/>
  <c r="AN45" i="22" s="1"/>
  <c r="AO45" i="22" s="1"/>
  <c r="AP45" i="22" s="1"/>
  <c r="AQ45" i="22" s="1"/>
  <c r="AR45" i="22" s="1"/>
  <c r="AS45" i="22" s="1"/>
  <c r="AT45" i="22" s="1"/>
  <c r="AU45" i="22" s="1"/>
  <c r="AV45" i="22" s="1"/>
  <c r="AW45" i="22" s="1"/>
  <c r="AX45" i="22" s="1"/>
  <c r="AY45" i="22" s="1"/>
  <c r="T41" i="22"/>
  <c r="U41" i="22" s="1"/>
  <c r="V41" i="22" s="1"/>
  <c r="W41" i="22" s="1"/>
  <c r="X41" i="22" s="1"/>
  <c r="Y41" i="22" s="1"/>
  <c r="Z41" i="22" s="1"/>
  <c r="AA41" i="22" s="1"/>
  <c r="AB41" i="22" s="1"/>
  <c r="AC41" i="22" s="1"/>
  <c r="AD41" i="22" s="1"/>
  <c r="AE41" i="22" s="1"/>
  <c r="AF41" i="22" s="1"/>
  <c r="AG41" i="22" s="1"/>
  <c r="AH41" i="22" s="1"/>
  <c r="AI41" i="22" s="1"/>
  <c r="AJ41" i="22" s="1"/>
  <c r="AK41" i="22" s="1"/>
  <c r="AL41" i="22" s="1"/>
  <c r="AM41" i="22" s="1"/>
  <c r="AN41" i="22" s="1"/>
  <c r="AO41" i="22" s="1"/>
  <c r="AP41" i="22" s="1"/>
  <c r="AQ41" i="22" s="1"/>
  <c r="AR41" i="22" s="1"/>
  <c r="AS41" i="22" s="1"/>
  <c r="AT41" i="22" s="1"/>
  <c r="AU41" i="22" s="1"/>
  <c r="AV41" i="22" s="1"/>
  <c r="AW41" i="22" s="1"/>
  <c r="AX41" i="22" s="1"/>
  <c r="AY41" i="22" s="1"/>
  <c r="T44" i="22"/>
  <c r="U44" i="22" s="1"/>
  <c r="V44" i="22" s="1"/>
  <c r="W44" i="22" s="1"/>
  <c r="X44" i="22" s="1"/>
  <c r="Y44" i="22" s="1"/>
  <c r="Z44" i="22" s="1"/>
  <c r="AA44" i="22" s="1"/>
  <c r="AB44" i="22" s="1"/>
  <c r="AC44" i="22" s="1"/>
  <c r="AD44" i="22" s="1"/>
  <c r="AE44" i="22" s="1"/>
  <c r="AF44" i="22" s="1"/>
  <c r="AG44" i="22" s="1"/>
  <c r="AH44" i="22" s="1"/>
  <c r="AI44" i="22" s="1"/>
  <c r="AJ44" i="22" s="1"/>
  <c r="AK44" i="22" s="1"/>
  <c r="AL44" i="22" s="1"/>
  <c r="AM44" i="22" s="1"/>
  <c r="AN44" i="22" s="1"/>
  <c r="AO44" i="22" s="1"/>
  <c r="AP44" i="22" s="1"/>
  <c r="AQ44" i="22" s="1"/>
  <c r="AR44" i="22" s="1"/>
  <c r="AS44" i="22" s="1"/>
  <c r="AT44" i="22" s="1"/>
  <c r="AU44" i="22" s="1"/>
  <c r="AV44" i="22" s="1"/>
  <c r="AW44" i="22" s="1"/>
  <c r="AX44" i="22" s="1"/>
  <c r="AY44" i="22" s="1"/>
  <c r="T43" i="22"/>
  <c r="U43" i="22" s="1"/>
  <c r="V43" i="22" s="1"/>
  <c r="W43" i="22" s="1"/>
  <c r="X43" i="22" s="1"/>
  <c r="Y43" i="22" s="1"/>
  <c r="Z43" i="22" s="1"/>
  <c r="AA43" i="22" s="1"/>
  <c r="AB43" i="22" s="1"/>
  <c r="AC43" i="22" s="1"/>
  <c r="AD43" i="22" s="1"/>
  <c r="AE43" i="22" s="1"/>
  <c r="AF43" i="22" s="1"/>
  <c r="AG43" i="22" s="1"/>
  <c r="AH43" i="22" s="1"/>
  <c r="AI43" i="22" s="1"/>
  <c r="AJ43" i="22" s="1"/>
  <c r="AK43" i="22" s="1"/>
  <c r="AL43" i="22" s="1"/>
  <c r="AM43" i="22" s="1"/>
  <c r="AN43" i="22" s="1"/>
  <c r="AO43" i="22" s="1"/>
  <c r="AP43" i="22" s="1"/>
  <c r="AQ43" i="22" s="1"/>
  <c r="AR43" i="22" s="1"/>
  <c r="AS43" i="22" s="1"/>
  <c r="AT43" i="22" s="1"/>
  <c r="AU43" i="22" s="1"/>
  <c r="AV43" i="22" s="1"/>
  <c r="AW43" i="22" s="1"/>
  <c r="AX43" i="22" s="1"/>
  <c r="AY43" i="22" s="1"/>
  <c r="T42" i="22"/>
  <c r="U42" i="22" s="1"/>
  <c r="V42" i="22" s="1"/>
  <c r="W42" i="22" s="1"/>
  <c r="X42" i="22" s="1"/>
  <c r="Y42" i="22" s="1"/>
  <c r="Z42" i="22" s="1"/>
  <c r="AA42" i="22" s="1"/>
  <c r="AB42" i="22" s="1"/>
  <c r="AC42" i="22" s="1"/>
  <c r="AD42" i="22" s="1"/>
  <c r="AE42" i="22" s="1"/>
  <c r="AF42" i="22" s="1"/>
  <c r="AG42" i="22" s="1"/>
  <c r="AH42" i="22" s="1"/>
  <c r="AI42" i="22" s="1"/>
  <c r="AJ42" i="22" s="1"/>
  <c r="AK42" i="22" s="1"/>
  <c r="AL42" i="22" s="1"/>
  <c r="AM42" i="22" s="1"/>
  <c r="AN42" i="22" s="1"/>
  <c r="AO42" i="22" s="1"/>
  <c r="AP42" i="22" s="1"/>
  <c r="AQ42" i="22" s="1"/>
  <c r="AR42" i="22" s="1"/>
  <c r="AS42" i="22" s="1"/>
  <c r="AT42" i="22" s="1"/>
  <c r="AU42" i="22" s="1"/>
  <c r="AV42" i="22" s="1"/>
  <c r="AW42" i="22" s="1"/>
  <c r="AX42" i="22" s="1"/>
  <c r="AY42" i="22" s="1"/>
  <c r="W50" i="14"/>
  <c r="V8" i="19"/>
  <c r="W51" i="14"/>
  <c r="W9" i="19" s="1"/>
  <c r="V9" i="19"/>
  <c r="BC57" i="14"/>
  <c r="BB15" i="19"/>
  <c r="BD50" i="14"/>
  <c r="BC8" i="19"/>
  <c r="BB15" i="17"/>
  <c r="BA254" i="17" s="1"/>
  <c r="V54" i="14"/>
  <c r="U12" i="17"/>
  <c r="AG12" i="17"/>
  <c r="BC16" i="17"/>
  <c r="AH9" i="17"/>
  <c r="AH8" i="17"/>
  <c r="X11" i="17"/>
  <c r="W59" i="14"/>
  <c r="AH59" i="14"/>
  <c r="V9" i="17"/>
  <c r="AH10" i="17"/>
  <c r="BF10" i="17"/>
  <c r="AH11" i="17"/>
  <c r="Y10" i="17"/>
  <c r="BF9" i="17"/>
  <c r="BC8" i="17"/>
  <c r="V8" i="17"/>
  <c r="U253" i="17" s="1"/>
  <c r="Y58" i="14"/>
  <c r="Y16" i="19" s="1"/>
  <c r="X16" i="17"/>
  <c r="BC54" i="14"/>
  <c r="BC11" i="17"/>
  <c r="AJ58" i="14"/>
  <c r="AJ16" i="19" s="1"/>
  <c r="AI16" i="17"/>
  <c r="X57" i="14"/>
  <c r="W325" i="14" s="1"/>
  <c r="W15" i="17"/>
  <c r="V254" i="17" s="1"/>
  <c r="AI57" i="14"/>
  <c r="AI15" i="19" s="1"/>
  <c r="AH15" i="17"/>
  <c r="AG254" i="17" s="1"/>
  <c r="Z52" i="14"/>
  <c r="Z10" i="19" s="1"/>
  <c r="AI53" i="14"/>
  <c r="AI11" i="19" s="1"/>
  <c r="BG51" i="14"/>
  <c r="BG9" i="19" s="1"/>
  <c r="BD53" i="14"/>
  <c r="BD11" i="19" s="1"/>
  <c r="BG52" i="14"/>
  <c r="BG10" i="19" s="1"/>
  <c r="Y53" i="14"/>
  <c r="Y11" i="19" s="1"/>
  <c r="AH54" i="14"/>
  <c r="AI51" i="14"/>
  <c r="AI9" i="19" s="1"/>
  <c r="AI52" i="14"/>
  <c r="AI10" i="19" s="1"/>
  <c r="AI50" i="14"/>
  <c r="Y215" i="14"/>
  <c r="BD58" i="14"/>
  <c r="BD16" i="19" s="1"/>
  <c r="R8" i="13"/>
  <c r="AZ8" i="13"/>
  <c r="V8" i="13"/>
  <c r="W107" i="23" l="1"/>
  <c r="V144" i="23"/>
  <c r="W110" i="23"/>
  <c r="V147" i="23"/>
  <c r="V124" i="23"/>
  <c r="W109" i="23"/>
  <c r="V146" i="23"/>
  <c r="W108" i="23"/>
  <c r="V145" i="23"/>
  <c r="Y287" i="14"/>
  <c r="Y289" i="14"/>
  <c r="Y288" i="14"/>
  <c r="BF75" i="13"/>
  <c r="BF106" i="13" s="1"/>
  <c r="W75" i="13"/>
  <c r="W106" i="13" s="1"/>
  <c r="AY75" i="13"/>
  <c r="AY106" i="13" s="1"/>
  <c r="AG75" i="13"/>
  <c r="AG106" i="13" s="1"/>
  <c r="AE75" i="13"/>
  <c r="AE106" i="13" s="1"/>
  <c r="BG75" i="13"/>
  <c r="BG106" i="13" s="1"/>
  <c r="AK75" i="13"/>
  <c r="AK106" i="13" s="1"/>
  <c r="AX75" i="13"/>
  <c r="AX106" i="13" s="1"/>
  <c r="AR75" i="13"/>
  <c r="AR106" i="13" s="1"/>
  <c r="AT91" i="17"/>
  <c r="AL76" i="13"/>
  <c r="AL107" i="13" s="1"/>
  <c r="BC75" i="13"/>
  <c r="BC106" i="13" s="1"/>
  <c r="S75" i="13"/>
  <c r="AB75" i="13"/>
  <c r="AB106" i="13" s="1"/>
  <c r="BH75" i="13"/>
  <c r="BH106" i="13" s="1"/>
  <c r="AW75" i="13"/>
  <c r="AW106" i="13" s="1"/>
  <c r="V75" i="13"/>
  <c r="V106" i="13" s="1"/>
  <c r="Z75" i="13"/>
  <c r="Z106" i="13" s="1"/>
  <c r="AA75" i="13"/>
  <c r="AA106" i="13" s="1"/>
  <c r="AF75" i="13"/>
  <c r="AF106" i="13" s="1"/>
  <c r="U75" i="13"/>
  <c r="U106" i="13" s="1"/>
  <c r="BA75" i="13"/>
  <c r="BA106" i="13" s="1"/>
  <c r="AL75" i="13"/>
  <c r="AL106" i="13" s="1"/>
  <c r="AM75" i="13"/>
  <c r="AM106" i="13" s="1"/>
  <c r="AH75" i="13"/>
  <c r="AH106" i="13" s="1"/>
  <c r="AD75" i="13"/>
  <c r="AD106" i="13" s="1"/>
  <c r="AI75" i="13"/>
  <c r="AI106" i="13" s="1"/>
  <c r="T75" i="13"/>
  <c r="T106" i="13" s="1"/>
  <c r="AJ75" i="13"/>
  <c r="AJ106" i="13" s="1"/>
  <c r="AZ75" i="13"/>
  <c r="AZ106" i="13" s="1"/>
  <c r="Y75" i="13"/>
  <c r="Y106" i="13" s="1"/>
  <c r="AO75" i="13"/>
  <c r="AO106" i="13" s="1"/>
  <c r="BE75" i="13"/>
  <c r="BE106" i="13" s="1"/>
  <c r="AV76" i="13"/>
  <c r="AV107" i="13" s="1"/>
  <c r="BB75" i="13"/>
  <c r="BB106" i="13" s="1"/>
  <c r="AU75" i="13"/>
  <c r="AU106" i="13" s="1"/>
  <c r="AP75" i="13"/>
  <c r="AP106" i="13" s="1"/>
  <c r="AT75" i="13"/>
  <c r="AT106" i="13" s="1"/>
  <c r="AQ75" i="13"/>
  <c r="AQ106" i="13" s="1"/>
  <c r="X75" i="13"/>
  <c r="X106" i="13" s="1"/>
  <c r="AN75" i="13"/>
  <c r="AN106" i="13" s="1"/>
  <c r="BD75" i="13"/>
  <c r="BD106" i="13" s="1"/>
  <c r="AC75" i="13"/>
  <c r="AC106" i="13" s="1"/>
  <c r="AS75" i="13"/>
  <c r="AS106" i="13" s="1"/>
  <c r="AN87" i="13"/>
  <c r="AN118" i="13" s="1"/>
  <c r="BE87" i="13"/>
  <c r="BE118" i="13" s="1"/>
  <c r="BB87" i="13"/>
  <c r="BB118" i="13" s="1"/>
  <c r="AR87" i="13"/>
  <c r="AR118" i="13" s="1"/>
  <c r="AQ87" i="13"/>
  <c r="AQ118" i="13" s="1"/>
  <c r="W330" i="14"/>
  <c r="W321" i="14"/>
  <c r="W331" i="14"/>
  <c r="W329" i="14"/>
  <c r="X15" i="19"/>
  <c r="W327" i="14"/>
  <c r="W323" i="14"/>
  <c r="W318" i="14"/>
  <c r="W319" i="14"/>
  <c r="W328" i="14"/>
  <c r="W324" i="14"/>
  <c r="W326" i="14"/>
  <c r="W322" i="14"/>
  <c r="W320" i="14"/>
  <c r="Y228" i="14"/>
  <c r="BG85" i="13"/>
  <c r="S56" i="31"/>
  <c r="T56" i="31" s="1"/>
  <c r="U56" i="31" s="1"/>
  <c r="V56" i="31" s="1"/>
  <c r="W56" i="31" s="1"/>
  <c r="X56" i="31" s="1"/>
  <c r="Y56" i="31" s="1"/>
  <c r="Z56" i="31" s="1"/>
  <c r="AA56" i="31" s="1"/>
  <c r="AB56" i="31" s="1"/>
  <c r="AC56" i="31" s="1"/>
  <c r="AD56" i="31" s="1"/>
  <c r="AE56" i="31" s="1"/>
  <c r="AF56" i="31" s="1"/>
  <c r="AG56" i="31" s="1"/>
  <c r="AH56" i="31" s="1"/>
  <c r="AI56" i="31" s="1"/>
  <c r="AJ56" i="31" s="1"/>
  <c r="AK56" i="31" s="1"/>
  <c r="AL56" i="31" s="1"/>
  <c r="AM56" i="31" s="1"/>
  <c r="AN56" i="31" s="1"/>
  <c r="AO56" i="31" s="1"/>
  <c r="AP56" i="31" s="1"/>
  <c r="AQ56" i="31" s="1"/>
  <c r="AR56" i="31" s="1"/>
  <c r="AS56" i="31" s="1"/>
  <c r="AT56" i="31" s="1"/>
  <c r="AU56" i="31" s="1"/>
  <c r="AV56" i="31" s="1"/>
  <c r="AW56" i="31" s="1"/>
  <c r="AX56" i="31" s="1"/>
  <c r="AY56" i="31" s="1"/>
  <c r="BH87" i="13"/>
  <c r="BH118" i="13" s="1"/>
  <c r="V87" i="13"/>
  <c r="V118" i="13" s="1"/>
  <c r="AU87" i="13"/>
  <c r="AU118" i="13" s="1"/>
  <c r="AF87" i="13"/>
  <c r="AF118" i="13" s="1"/>
  <c r="AX87" i="13"/>
  <c r="AX118" i="13" s="1"/>
  <c r="AK87" i="13"/>
  <c r="AK118" i="13" s="1"/>
  <c r="AC87" i="13"/>
  <c r="AC118" i="13" s="1"/>
  <c r="Y87" i="13"/>
  <c r="Y118" i="13" s="1"/>
  <c r="AH87" i="13"/>
  <c r="AH118" i="13" s="1"/>
  <c r="AA87" i="13"/>
  <c r="AA118" i="13" s="1"/>
  <c r="BG87" i="13"/>
  <c r="BG118" i="13" s="1"/>
  <c r="BA87" i="13"/>
  <c r="BA118" i="13" s="1"/>
  <c r="AS87" i="13"/>
  <c r="AS118" i="13" s="1"/>
  <c r="AG87" i="13"/>
  <c r="AG118" i="13" s="1"/>
  <c r="AL87" i="13"/>
  <c r="AL118" i="13" s="1"/>
  <c r="AE87" i="13"/>
  <c r="AE118" i="13" s="1"/>
  <c r="AZ87" i="13"/>
  <c r="AZ118" i="13" s="1"/>
  <c r="S87" i="13"/>
  <c r="T87" i="13"/>
  <c r="T118" i="13" s="1"/>
  <c r="BI87" i="13"/>
  <c r="BI118" i="13" s="1"/>
  <c r="AV87" i="13"/>
  <c r="AV118" i="13" s="1"/>
  <c r="AO87" i="13"/>
  <c r="AO118" i="13" s="1"/>
  <c r="Z87" i="13"/>
  <c r="Z118" i="13" s="1"/>
  <c r="AP87" i="13"/>
  <c r="AP118" i="13" s="1"/>
  <c r="BF87" i="13"/>
  <c r="BF118" i="13" s="1"/>
  <c r="AI87" i="13"/>
  <c r="AI118" i="13" s="1"/>
  <c r="AY87" i="13"/>
  <c r="AY118" i="13" s="1"/>
  <c r="U74" i="13"/>
  <c r="U105" i="13" s="1"/>
  <c r="U87" i="13"/>
  <c r="U118" i="13" s="1"/>
  <c r="AB87" i="13"/>
  <c r="AB118" i="13" s="1"/>
  <c r="AJ87" i="13"/>
  <c r="AJ118" i="13" s="1"/>
  <c r="X87" i="13"/>
  <c r="X118" i="13" s="1"/>
  <c r="BD87" i="13"/>
  <c r="BD118" i="13" s="1"/>
  <c r="AW87" i="13"/>
  <c r="AW118" i="13" s="1"/>
  <c r="AD87" i="13"/>
  <c r="AD118" i="13" s="1"/>
  <c r="AT87" i="13"/>
  <c r="AT118" i="13" s="1"/>
  <c r="W87" i="13"/>
  <c r="W118" i="13" s="1"/>
  <c r="AM87" i="13"/>
  <c r="AM118" i="13" s="1"/>
  <c r="AM74" i="13"/>
  <c r="AM105" i="13" s="1"/>
  <c r="BF86" i="13"/>
  <c r="BF117" i="13" s="1"/>
  <c r="BC74" i="13"/>
  <c r="BC105" i="13" s="1"/>
  <c r="AO74" i="13"/>
  <c r="AO105" i="13" s="1"/>
  <c r="X86" i="13"/>
  <c r="X117" i="13" s="1"/>
  <c r="BD86" i="13"/>
  <c r="BD117" i="13" s="1"/>
  <c r="AF73" i="13"/>
  <c r="AF104" i="13" s="1"/>
  <c r="BE74" i="13"/>
  <c r="BE105" i="13" s="1"/>
  <c r="AD74" i="13"/>
  <c r="AD105" i="13" s="1"/>
  <c r="AD86" i="13"/>
  <c r="AD117" i="13" s="1"/>
  <c r="AS86" i="13"/>
  <c r="AS117" i="13" s="1"/>
  <c r="AB74" i="13"/>
  <c r="AB105" i="13" s="1"/>
  <c r="AT74" i="13"/>
  <c r="AT105" i="13" s="1"/>
  <c r="S85" i="13"/>
  <c r="W86" i="13"/>
  <c r="W117" i="13" s="1"/>
  <c r="S86" i="13"/>
  <c r="AB86" i="13"/>
  <c r="AB117" i="13" s="1"/>
  <c r="BH86" i="13"/>
  <c r="BH117" i="13" s="1"/>
  <c r="AW86" i="13"/>
  <c r="AW117" i="13" s="1"/>
  <c r="AA73" i="13"/>
  <c r="AA104" i="13" s="1"/>
  <c r="AG73" i="13"/>
  <c r="AG104" i="13" s="1"/>
  <c r="BI85" i="13"/>
  <c r="BI116" i="13" s="1"/>
  <c r="AU86" i="13"/>
  <c r="AU117" i="13" s="1"/>
  <c r="Z86" i="13"/>
  <c r="Z117" i="13" s="1"/>
  <c r="AQ86" i="13"/>
  <c r="AQ117" i="13" s="1"/>
  <c r="AN86" i="13"/>
  <c r="AN117" i="13" s="1"/>
  <c r="AC86" i="13"/>
  <c r="AC117" i="13" s="1"/>
  <c r="BI86" i="13"/>
  <c r="BI117" i="13" s="1"/>
  <c r="AD73" i="13"/>
  <c r="AD104" i="13" s="1"/>
  <c r="AW73" i="13"/>
  <c r="AW104" i="13" s="1"/>
  <c r="AF74" i="13"/>
  <c r="AF105" i="13" s="1"/>
  <c r="AJ74" i="13"/>
  <c r="AJ105" i="13" s="1"/>
  <c r="BA74" i="13"/>
  <c r="BA105" i="13" s="1"/>
  <c r="BF74" i="13"/>
  <c r="BF105" i="13" s="1"/>
  <c r="AH85" i="13"/>
  <c r="AH116" i="13" s="1"/>
  <c r="V86" i="13"/>
  <c r="V117" i="13" s="1"/>
  <c r="AH86" i="13"/>
  <c r="AH117" i="13" s="1"/>
  <c r="AY86" i="13"/>
  <c r="AY117" i="13" s="1"/>
  <c r="AR86" i="13"/>
  <c r="AR117" i="13" s="1"/>
  <c r="AG86" i="13"/>
  <c r="AG117" i="13" s="1"/>
  <c r="BC73" i="13"/>
  <c r="BC104" i="13" s="1"/>
  <c r="AV74" i="13"/>
  <c r="AV105" i="13" s="1"/>
  <c r="X74" i="13"/>
  <c r="X105" i="13" s="1"/>
  <c r="Z74" i="13"/>
  <c r="Z105" i="13" s="1"/>
  <c r="W74" i="13"/>
  <c r="W105" i="13" s="1"/>
  <c r="AV85" i="13"/>
  <c r="AV116" i="13" s="1"/>
  <c r="AQ85" i="13"/>
  <c r="AQ116" i="13" s="1"/>
  <c r="AT86" i="13"/>
  <c r="AT117" i="13" s="1"/>
  <c r="AL86" i="13"/>
  <c r="AL117" i="13" s="1"/>
  <c r="AM86" i="13"/>
  <c r="AM117" i="13" s="1"/>
  <c r="AP86" i="13"/>
  <c r="AP117" i="13" s="1"/>
  <c r="AA86" i="13"/>
  <c r="AA117" i="13" s="1"/>
  <c r="BG86" i="13"/>
  <c r="BG117" i="13" s="1"/>
  <c r="AF86" i="13"/>
  <c r="AF117" i="13" s="1"/>
  <c r="AV86" i="13"/>
  <c r="AV117" i="13" s="1"/>
  <c r="U86" i="13"/>
  <c r="U117" i="13" s="1"/>
  <c r="AK86" i="13"/>
  <c r="AK117" i="13" s="1"/>
  <c r="BA86" i="13"/>
  <c r="BA117" i="13" s="1"/>
  <c r="AH73" i="13"/>
  <c r="AH104" i="13" s="1"/>
  <c r="AV73" i="13"/>
  <c r="AV104" i="13" s="1"/>
  <c r="AR85" i="13"/>
  <c r="AR116" i="13" s="1"/>
  <c r="AX85" i="13"/>
  <c r="AX116" i="13" s="1"/>
  <c r="AE86" i="13"/>
  <c r="AE117" i="13" s="1"/>
  <c r="BB86" i="13"/>
  <c r="BB117" i="13" s="1"/>
  <c r="BC86" i="13"/>
  <c r="BC117" i="13" s="1"/>
  <c r="AX86" i="13"/>
  <c r="AX117" i="13" s="1"/>
  <c r="AI86" i="13"/>
  <c r="AI117" i="13" s="1"/>
  <c r="T86" i="13"/>
  <c r="T117" i="13" s="1"/>
  <c r="AJ86" i="13"/>
  <c r="AJ117" i="13" s="1"/>
  <c r="AZ86" i="13"/>
  <c r="AZ117" i="13" s="1"/>
  <c r="Y86" i="13"/>
  <c r="Y117" i="13" s="1"/>
  <c r="AO86" i="13"/>
  <c r="AO117" i="13" s="1"/>
  <c r="W73" i="13"/>
  <c r="W104" i="13" s="1"/>
  <c r="S73" i="13"/>
  <c r="AW74" i="13"/>
  <c r="AW105" i="13" s="1"/>
  <c r="BH74" i="13"/>
  <c r="BH105" i="13" s="1"/>
  <c r="AS74" i="13"/>
  <c r="AS105" i="13" s="1"/>
  <c r="AP74" i="13"/>
  <c r="AP105" i="13" s="1"/>
  <c r="AI74" i="13"/>
  <c r="AI105" i="13" s="1"/>
  <c r="Y85" i="13"/>
  <c r="Y116" i="13" s="1"/>
  <c r="AC85" i="13"/>
  <c r="AC116" i="13" s="1"/>
  <c r="AA85" i="13"/>
  <c r="AA116" i="13" s="1"/>
  <c r="AR76" i="13"/>
  <c r="AR107" i="13" s="1"/>
  <c r="AC76" i="13"/>
  <c r="AC107" i="13" s="1"/>
  <c r="AO76" i="13"/>
  <c r="AO107" i="13" s="1"/>
  <c r="AE76" i="13"/>
  <c r="AE107" i="13" s="1"/>
  <c r="BB76" i="13"/>
  <c r="BB107" i="13" s="1"/>
  <c r="BI76" i="13"/>
  <c r="BI107" i="13" s="1"/>
  <c r="V76" i="13"/>
  <c r="V107" i="13" s="1"/>
  <c r="AU76" i="13"/>
  <c r="AU107" i="13" s="1"/>
  <c r="Z73" i="13"/>
  <c r="Z104" i="13" s="1"/>
  <c r="AQ73" i="13"/>
  <c r="AQ104" i="13" s="1"/>
  <c r="AX73" i="13"/>
  <c r="AX104" i="13" s="1"/>
  <c r="AE73" i="13"/>
  <c r="AE104" i="13" s="1"/>
  <c r="AJ73" i="13"/>
  <c r="AJ104" i="13" s="1"/>
  <c r="AZ73" i="13"/>
  <c r="AZ104" i="13" s="1"/>
  <c r="AK73" i="13"/>
  <c r="AK104" i="13" s="1"/>
  <c r="BA73" i="13"/>
  <c r="BA104" i="13" s="1"/>
  <c r="AN85" i="13"/>
  <c r="AN116" i="13" s="1"/>
  <c r="AZ85" i="13"/>
  <c r="AZ116" i="13" s="1"/>
  <c r="V85" i="13"/>
  <c r="V116" i="13" s="1"/>
  <c r="AP73" i="13"/>
  <c r="AP104" i="13" s="1"/>
  <c r="BG73" i="13"/>
  <c r="BG104" i="13" s="1"/>
  <c r="AT73" i="13"/>
  <c r="AT104" i="13" s="1"/>
  <c r="AI73" i="13"/>
  <c r="AI104" i="13" s="1"/>
  <c r="AM73" i="13"/>
  <c r="AM104" i="13" s="1"/>
  <c r="X73" i="13"/>
  <c r="X104" i="13" s="1"/>
  <c r="AN73" i="13"/>
  <c r="AN104" i="13" s="1"/>
  <c r="BD73" i="13"/>
  <c r="BD104" i="13" s="1"/>
  <c r="Y73" i="13"/>
  <c r="Y104" i="13" s="1"/>
  <c r="AO73" i="13"/>
  <c r="AO104" i="13" s="1"/>
  <c r="BE73" i="13"/>
  <c r="BE104" i="13" s="1"/>
  <c r="Y74" i="13"/>
  <c r="Y105" i="13" s="1"/>
  <c r="S74" i="13"/>
  <c r="AR74" i="13"/>
  <c r="AR105" i="13" s="1"/>
  <c r="AN74" i="13"/>
  <c r="AN105" i="13" s="1"/>
  <c r="AC74" i="13"/>
  <c r="AC105" i="13" s="1"/>
  <c r="BI74" i="13"/>
  <c r="BI105" i="13" s="1"/>
  <c r="AH74" i="13"/>
  <c r="AH105" i="13" s="1"/>
  <c r="AX74" i="13"/>
  <c r="AX105" i="13" s="1"/>
  <c r="AA74" i="13"/>
  <c r="AA105" i="13" s="1"/>
  <c r="AU74" i="13"/>
  <c r="AU105" i="13" s="1"/>
  <c r="X85" i="13"/>
  <c r="X116" i="13" s="1"/>
  <c r="BE85" i="13"/>
  <c r="BE116" i="13" s="1"/>
  <c r="AG85" i="13"/>
  <c r="AG116" i="13" s="1"/>
  <c r="AB85" i="13"/>
  <c r="AB116" i="13" s="1"/>
  <c r="BH85" i="13"/>
  <c r="BH116" i="13" s="1"/>
  <c r="AS85" i="13"/>
  <c r="AS116" i="13" s="1"/>
  <c r="Z85" i="13"/>
  <c r="Z116" i="13" s="1"/>
  <c r="AP85" i="13"/>
  <c r="AP116" i="13" s="1"/>
  <c r="BF85" i="13"/>
  <c r="BF116" i="13" s="1"/>
  <c r="AI85" i="13"/>
  <c r="AI116" i="13" s="1"/>
  <c r="AY85" i="13"/>
  <c r="AY116" i="13" s="1"/>
  <c r="AL73" i="13"/>
  <c r="AL104" i="13" s="1"/>
  <c r="T73" i="13"/>
  <c r="T104" i="13" s="1"/>
  <c r="U73" i="13"/>
  <c r="U104" i="13" s="1"/>
  <c r="AO85" i="13"/>
  <c r="AO116" i="13" s="1"/>
  <c r="T85" i="13"/>
  <c r="T116" i="13" s="1"/>
  <c r="AK85" i="13"/>
  <c r="AK116" i="13" s="1"/>
  <c r="AL85" i="13"/>
  <c r="AL116" i="13" s="1"/>
  <c r="BB85" i="13"/>
  <c r="BB116" i="13" s="1"/>
  <c r="AE85" i="13"/>
  <c r="AE116" i="13" s="1"/>
  <c r="AU85" i="13"/>
  <c r="AU116" i="13" s="1"/>
  <c r="BF73" i="13"/>
  <c r="BF104" i="13" s="1"/>
  <c r="V73" i="13"/>
  <c r="V104" i="13" s="1"/>
  <c r="BB73" i="13"/>
  <c r="BB104" i="13" s="1"/>
  <c r="AY73" i="13"/>
  <c r="AY104" i="13" s="1"/>
  <c r="AU73" i="13"/>
  <c r="AU104" i="13" s="1"/>
  <c r="AB73" i="13"/>
  <c r="AB104" i="13" s="1"/>
  <c r="AR73" i="13"/>
  <c r="AR104" i="13" s="1"/>
  <c r="BH73" i="13"/>
  <c r="BH104" i="13" s="1"/>
  <c r="AC73" i="13"/>
  <c r="AC104" i="13" s="1"/>
  <c r="AS73" i="13"/>
  <c r="AS104" i="13" s="1"/>
  <c r="AG74" i="13"/>
  <c r="AG105" i="13" s="1"/>
  <c r="T74" i="13"/>
  <c r="T105" i="13" s="1"/>
  <c r="AZ74" i="13"/>
  <c r="AZ105" i="13" s="1"/>
  <c r="BD74" i="13"/>
  <c r="BD105" i="13" s="1"/>
  <c r="AK74" i="13"/>
  <c r="AK105" i="13" s="1"/>
  <c r="V74" i="13"/>
  <c r="V105" i="13" s="1"/>
  <c r="AL74" i="13"/>
  <c r="AL105" i="13" s="1"/>
  <c r="BB74" i="13"/>
  <c r="BB105" i="13" s="1"/>
  <c r="AE74" i="13"/>
  <c r="AE105" i="13" s="1"/>
  <c r="AY74" i="13"/>
  <c r="AY105" i="13" s="1"/>
  <c r="BD85" i="13"/>
  <c r="BD116" i="13" s="1"/>
  <c r="AF85" i="13"/>
  <c r="AF116" i="13" s="1"/>
  <c r="AW85" i="13"/>
  <c r="AW116" i="13" s="1"/>
  <c r="AJ85" i="13"/>
  <c r="AJ116" i="13" s="1"/>
  <c r="U85" i="13"/>
  <c r="U116" i="13" s="1"/>
  <c r="BA85" i="13"/>
  <c r="BA116" i="13" s="1"/>
  <c r="AD85" i="13"/>
  <c r="AD116" i="13" s="1"/>
  <c r="AT85" i="13"/>
  <c r="AT116" i="13" s="1"/>
  <c r="W85" i="13"/>
  <c r="W116" i="13" s="1"/>
  <c r="AM85" i="13"/>
  <c r="AM116" i="13" s="1"/>
  <c r="AQ74" i="13"/>
  <c r="AQ105" i="13" s="1"/>
  <c r="AB76" i="13"/>
  <c r="AB107" i="13" s="1"/>
  <c r="AK76" i="13"/>
  <c r="AK107" i="13" s="1"/>
  <c r="X76" i="13"/>
  <c r="X107" i="13" s="1"/>
  <c r="BD76" i="13"/>
  <c r="BD107" i="13" s="1"/>
  <c r="BH76" i="13"/>
  <c r="BH107" i="13" s="1"/>
  <c r="AW76" i="13"/>
  <c r="AW107" i="13" s="1"/>
  <c r="Z76" i="13"/>
  <c r="Z107" i="13" s="1"/>
  <c r="AP76" i="13"/>
  <c r="AP107" i="13" s="1"/>
  <c r="BF76" i="13"/>
  <c r="BF107" i="13" s="1"/>
  <c r="AI76" i="13"/>
  <c r="AI107" i="13" s="1"/>
  <c r="AY76" i="13"/>
  <c r="AY107" i="13" s="1"/>
  <c r="AZ76" i="13"/>
  <c r="AZ107" i="13" s="1"/>
  <c r="AS76" i="13"/>
  <c r="AS107" i="13" s="1"/>
  <c r="AF76" i="13"/>
  <c r="AF107" i="13" s="1"/>
  <c r="T76" i="13"/>
  <c r="T107" i="13" s="1"/>
  <c r="Y76" i="13"/>
  <c r="Y107" i="13" s="1"/>
  <c r="BE76" i="13"/>
  <c r="BE107" i="13" s="1"/>
  <c r="AD76" i="13"/>
  <c r="AD107" i="13" s="1"/>
  <c r="AT76" i="13"/>
  <c r="AT107" i="13" s="1"/>
  <c r="W76" i="13"/>
  <c r="W107" i="13" s="1"/>
  <c r="AM76" i="13"/>
  <c r="AM107" i="13" s="1"/>
  <c r="BC76" i="13"/>
  <c r="BC107" i="13" s="1"/>
  <c r="U76" i="13"/>
  <c r="U107" i="13" s="1"/>
  <c r="BA76" i="13"/>
  <c r="BA107" i="13" s="1"/>
  <c r="AN76" i="13"/>
  <c r="AN107" i="13" s="1"/>
  <c r="AJ76" i="13"/>
  <c r="AJ107" i="13" s="1"/>
  <c r="AG76" i="13"/>
  <c r="AG107" i="13" s="1"/>
  <c r="S76" i="13"/>
  <c r="AH76" i="13"/>
  <c r="AH107" i="13" s="1"/>
  <c r="AX76" i="13"/>
  <c r="AX107" i="13" s="1"/>
  <c r="AA76" i="13"/>
  <c r="AA107" i="13" s="1"/>
  <c r="AQ76" i="13"/>
  <c r="AQ107" i="13" s="1"/>
  <c r="U103" i="23"/>
  <c r="T137" i="23"/>
  <c r="AG253" i="17"/>
  <c r="W8" i="19"/>
  <c r="BC12" i="17"/>
  <c r="BB253" i="17"/>
  <c r="BD8" i="19"/>
  <c r="BD12" i="19" s="1"/>
  <c r="BC15" i="19"/>
  <c r="AI8" i="19"/>
  <c r="AI12" i="19" s="1"/>
  <c r="BC12" i="19"/>
  <c r="U68" i="31"/>
  <c r="V68" i="31" s="1"/>
  <c r="W68" i="31" s="1"/>
  <c r="X68" i="31" s="1"/>
  <c r="Y68" i="31" s="1"/>
  <c r="Z68" i="31" s="1"/>
  <c r="AA68" i="31" s="1"/>
  <c r="AB68" i="31" s="1"/>
  <c r="AC68" i="31" s="1"/>
  <c r="AD68" i="31" s="1"/>
  <c r="AE68" i="31" s="1"/>
  <c r="AF68" i="31" s="1"/>
  <c r="AG68" i="31" s="1"/>
  <c r="AH68" i="31" s="1"/>
  <c r="AI68" i="31" s="1"/>
  <c r="AJ68" i="31" s="1"/>
  <c r="AK68" i="31" s="1"/>
  <c r="AL68" i="31" s="1"/>
  <c r="AM68" i="31" s="1"/>
  <c r="AN68" i="31" s="1"/>
  <c r="AO68" i="31" s="1"/>
  <c r="AP68" i="31" s="1"/>
  <c r="AQ68" i="31" s="1"/>
  <c r="AR68" i="31" s="1"/>
  <c r="AS68" i="31" s="1"/>
  <c r="AT68" i="31" s="1"/>
  <c r="AU68" i="31" s="1"/>
  <c r="AV68" i="31" s="1"/>
  <c r="AW68" i="31" s="1"/>
  <c r="AX68" i="31" s="1"/>
  <c r="AY68" i="31" s="1"/>
  <c r="BI93" i="13"/>
  <c r="BI125" i="13" s="1"/>
  <c r="BE93" i="13"/>
  <c r="BE125" i="13" s="1"/>
  <c r="BA93" i="13"/>
  <c r="BA125" i="13" s="1"/>
  <c r="AW93" i="13"/>
  <c r="AW125" i="13" s="1"/>
  <c r="AS93" i="13"/>
  <c r="AS125" i="13" s="1"/>
  <c r="AO93" i="13"/>
  <c r="AO125" i="13" s="1"/>
  <c r="AK93" i="13"/>
  <c r="AK125" i="13" s="1"/>
  <c r="AG93" i="13"/>
  <c r="AG125" i="13" s="1"/>
  <c r="AC93" i="13"/>
  <c r="AC125" i="13" s="1"/>
  <c r="Y93" i="13"/>
  <c r="Y125" i="13" s="1"/>
  <c r="U93" i="13"/>
  <c r="U125" i="13" s="1"/>
  <c r="T93" i="13"/>
  <c r="T125" i="13" s="1"/>
  <c r="BF93" i="13"/>
  <c r="BF125" i="13" s="1"/>
  <c r="AT93" i="13"/>
  <c r="AT125" i="13" s="1"/>
  <c r="AP93" i="13"/>
  <c r="AP125" i="13" s="1"/>
  <c r="AL93" i="13"/>
  <c r="AL125" i="13" s="1"/>
  <c r="AD93" i="13"/>
  <c r="AD125" i="13" s="1"/>
  <c r="V93" i="13"/>
  <c r="V125" i="13" s="1"/>
  <c r="BH93" i="13"/>
  <c r="BH125" i="13" s="1"/>
  <c r="BD93" i="13"/>
  <c r="BD125" i="13" s="1"/>
  <c r="AZ93" i="13"/>
  <c r="AZ125" i="13" s="1"/>
  <c r="AV93" i="13"/>
  <c r="AV125" i="13" s="1"/>
  <c r="AR93" i="13"/>
  <c r="AR125" i="13" s="1"/>
  <c r="AN93" i="13"/>
  <c r="AN125" i="13" s="1"/>
  <c r="AJ93" i="13"/>
  <c r="AJ125" i="13" s="1"/>
  <c r="AF93" i="13"/>
  <c r="AF125" i="13" s="1"/>
  <c r="AB93" i="13"/>
  <c r="AB125" i="13" s="1"/>
  <c r="X93" i="13"/>
  <c r="X125" i="13" s="1"/>
  <c r="BB93" i="13"/>
  <c r="BB125" i="13" s="1"/>
  <c r="AH93" i="13"/>
  <c r="AH125" i="13" s="1"/>
  <c r="Z93" i="13"/>
  <c r="Z125" i="13" s="1"/>
  <c r="BG93" i="13"/>
  <c r="BG125" i="13" s="1"/>
  <c r="BC93" i="13"/>
  <c r="BC125" i="13" s="1"/>
  <c r="AY93" i="13"/>
  <c r="AY125" i="13" s="1"/>
  <c r="AU93" i="13"/>
  <c r="AU125" i="13" s="1"/>
  <c r="AQ93" i="13"/>
  <c r="AQ125" i="13" s="1"/>
  <c r="AM93" i="13"/>
  <c r="AM125" i="13" s="1"/>
  <c r="AI93" i="13"/>
  <c r="AI125" i="13" s="1"/>
  <c r="AE93" i="13"/>
  <c r="AE125" i="13" s="1"/>
  <c r="AA93" i="13"/>
  <c r="AA125" i="13" s="1"/>
  <c r="W93" i="13"/>
  <c r="W125" i="13" s="1"/>
  <c r="AX93" i="13"/>
  <c r="AX125" i="13" s="1"/>
  <c r="BF92" i="13"/>
  <c r="BF124" i="13" s="1"/>
  <c r="BB92" i="13"/>
  <c r="BB124" i="13" s="1"/>
  <c r="AX92" i="13"/>
  <c r="AX124" i="13" s="1"/>
  <c r="AT92" i="13"/>
  <c r="AT124" i="13" s="1"/>
  <c r="AP92" i="13"/>
  <c r="AP124" i="13" s="1"/>
  <c r="AL92" i="13"/>
  <c r="AL124" i="13" s="1"/>
  <c r="AH92" i="13"/>
  <c r="AH124" i="13" s="1"/>
  <c r="AD92" i="13"/>
  <c r="AD124" i="13" s="1"/>
  <c r="Z92" i="13"/>
  <c r="Z124" i="13" s="1"/>
  <c r="V92" i="13"/>
  <c r="V124" i="13" s="1"/>
  <c r="BC92" i="13"/>
  <c r="BC124" i="13" s="1"/>
  <c r="AU92" i="13"/>
  <c r="AU124" i="13" s="1"/>
  <c r="AM92" i="13"/>
  <c r="AM124" i="13" s="1"/>
  <c r="AI92" i="13"/>
  <c r="AI124" i="13" s="1"/>
  <c r="BI92" i="13"/>
  <c r="BI124" i="13" s="1"/>
  <c r="BE92" i="13"/>
  <c r="BE124" i="13" s="1"/>
  <c r="BA92" i="13"/>
  <c r="BA124" i="13" s="1"/>
  <c r="AW92" i="13"/>
  <c r="AW124" i="13" s="1"/>
  <c r="AS92" i="13"/>
  <c r="AS124" i="13" s="1"/>
  <c r="AO92" i="13"/>
  <c r="AO124" i="13" s="1"/>
  <c r="AK92" i="13"/>
  <c r="AK124" i="13" s="1"/>
  <c r="AG92" i="13"/>
  <c r="AG124" i="13" s="1"/>
  <c r="AC92" i="13"/>
  <c r="AC124" i="13" s="1"/>
  <c r="Y92" i="13"/>
  <c r="Y124" i="13" s="1"/>
  <c r="U92" i="13"/>
  <c r="U124" i="13" s="1"/>
  <c r="T92" i="13"/>
  <c r="T124" i="13" s="1"/>
  <c r="BG92" i="13"/>
  <c r="BG124" i="13" s="1"/>
  <c r="AY92" i="13"/>
  <c r="AY124" i="13" s="1"/>
  <c r="AQ92" i="13"/>
  <c r="AQ124" i="13" s="1"/>
  <c r="AE92" i="13"/>
  <c r="AE124" i="13" s="1"/>
  <c r="W92" i="13"/>
  <c r="W124" i="13" s="1"/>
  <c r="BH92" i="13"/>
  <c r="BH124" i="13" s="1"/>
  <c r="BD92" i="13"/>
  <c r="BD124" i="13" s="1"/>
  <c r="AZ92" i="13"/>
  <c r="AZ124" i="13" s="1"/>
  <c r="AV92" i="13"/>
  <c r="AV124" i="13" s="1"/>
  <c r="AR92" i="13"/>
  <c r="AR124" i="13" s="1"/>
  <c r="AN92" i="13"/>
  <c r="AN124" i="13" s="1"/>
  <c r="AJ92" i="13"/>
  <c r="AJ124" i="13" s="1"/>
  <c r="AF92" i="13"/>
  <c r="AF124" i="13" s="1"/>
  <c r="AB92" i="13"/>
  <c r="AB124" i="13" s="1"/>
  <c r="X92" i="13"/>
  <c r="X124" i="13" s="1"/>
  <c r="AA92" i="13"/>
  <c r="AA124" i="13" s="1"/>
  <c r="BF79" i="13"/>
  <c r="BF111" i="13" s="1"/>
  <c r="BB79" i="13"/>
  <c r="BB111" i="13" s="1"/>
  <c r="AX79" i="13"/>
  <c r="AX111" i="13" s="1"/>
  <c r="AT79" i="13"/>
  <c r="AT111" i="13" s="1"/>
  <c r="AP79" i="13"/>
  <c r="AP111" i="13" s="1"/>
  <c r="AL79" i="13"/>
  <c r="AL111" i="13" s="1"/>
  <c r="AH79" i="13"/>
  <c r="AH111" i="13" s="1"/>
  <c r="AD79" i="13"/>
  <c r="AD111" i="13" s="1"/>
  <c r="Z79" i="13"/>
  <c r="Z111" i="13" s="1"/>
  <c r="V79" i="13"/>
  <c r="V111" i="13" s="1"/>
  <c r="T79" i="13"/>
  <c r="T111" i="13" s="1"/>
  <c r="BI79" i="13"/>
  <c r="BI111" i="13" s="1"/>
  <c r="BE79" i="13"/>
  <c r="BE111" i="13" s="1"/>
  <c r="BA79" i="13"/>
  <c r="BA111" i="13" s="1"/>
  <c r="AW79" i="13"/>
  <c r="AW111" i="13" s="1"/>
  <c r="AS79" i="13"/>
  <c r="AS111" i="13" s="1"/>
  <c r="AO79" i="13"/>
  <c r="AO111" i="13" s="1"/>
  <c r="AK79" i="13"/>
  <c r="AK111" i="13" s="1"/>
  <c r="AG79" i="13"/>
  <c r="AG111" i="13" s="1"/>
  <c r="AC79" i="13"/>
  <c r="AC111" i="13" s="1"/>
  <c r="Y79" i="13"/>
  <c r="Y111" i="13" s="1"/>
  <c r="U79" i="13"/>
  <c r="U111" i="13" s="1"/>
  <c r="BH79" i="13"/>
  <c r="BH111" i="13" s="1"/>
  <c r="BD79" i="13"/>
  <c r="BD111" i="13" s="1"/>
  <c r="AZ79" i="13"/>
  <c r="AZ111" i="13" s="1"/>
  <c r="AV79" i="13"/>
  <c r="AV111" i="13" s="1"/>
  <c r="AR79" i="13"/>
  <c r="AR111" i="13" s="1"/>
  <c r="AN79" i="13"/>
  <c r="AN111" i="13" s="1"/>
  <c r="AJ79" i="13"/>
  <c r="AJ111" i="13" s="1"/>
  <c r="AF79" i="13"/>
  <c r="AF111" i="13" s="1"/>
  <c r="AB79" i="13"/>
  <c r="AB111" i="13" s="1"/>
  <c r="X79" i="13"/>
  <c r="X111" i="13" s="1"/>
  <c r="AY79" i="13"/>
  <c r="AY111" i="13" s="1"/>
  <c r="AI79" i="13"/>
  <c r="AI111" i="13" s="1"/>
  <c r="BC79" i="13"/>
  <c r="BC111" i="13" s="1"/>
  <c r="W79" i="13"/>
  <c r="W111" i="13" s="1"/>
  <c r="AU79" i="13"/>
  <c r="AU111" i="13" s="1"/>
  <c r="AE79" i="13"/>
  <c r="AE111" i="13" s="1"/>
  <c r="BG79" i="13"/>
  <c r="BG111" i="13" s="1"/>
  <c r="AQ79" i="13"/>
  <c r="AQ111" i="13" s="1"/>
  <c r="AA79" i="13"/>
  <c r="AA111" i="13" s="1"/>
  <c r="AM79" i="13"/>
  <c r="AM111" i="13" s="1"/>
  <c r="BG78" i="13"/>
  <c r="BG110" i="13" s="1"/>
  <c r="BC78" i="13"/>
  <c r="BC110" i="13" s="1"/>
  <c r="AY78" i="13"/>
  <c r="AY110" i="13" s="1"/>
  <c r="AU78" i="13"/>
  <c r="AU110" i="13" s="1"/>
  <c r="AQ78" i="13"/>
  <c r="AQ110" i="13" s="1"/>
  <c r="AM78" i="13"/>
  <c r="AM110" i="13" s="1"/>
  <c r="AI78" i="13"/>
  <c r="AI110" i="13" s="1"/>
  <c r="AE78" i="13"/>
  <c r="AE110" i="13" s="1"/>
  <c r="AA78" i="13"/>
  <c r="AA110" i="13" s="1"/>
  <c r="W78" i="13"/>
  <c r="W110" i="13" s="1"/>
  <c r="BF78" i="13"/>
  <c r="BF110" i="13" s="1"/>
  <c r="BB78" i="13"/>
  <c r="BB110" i="13" s="1"/>
  <c r="AX78" i="13"/>
  <c r="AX110" i="13" s="1"/>
  <c r="AT78" i="13"/>
  <c r="AT110" i="13" s="1"/>
  <c r="AP78" i="13"/>
  <c r="AP110" i="13" s="1"/>
  <c r="AL78" i="13"/>
  <c r="AL110" i="13" s="1"/>
  <c r="AH78" i="13"/>
  <c r="AH110" i="13" s="1"/>
  <c r="AD78" i="13"/>
  <c r="AD110" i="13" s="1"/>
  <c r="Z78" i="13"/>
  <c r="Z110" i="13" s="1"/>
  <c r="V78" i="13"/>
  <c r="V110" i="13" s="1"/>
  <c r="T78" i="13"/>
  <c r="T110" i="13" s="1"/>
  <c r="BI78" i="13"/>
  <c r="BI110" i="13" s="1"/>
  <c r="BE78" i="13"/>
  <c r="BE110" i="13" s="1"/>
  <c r="BA78" i="13"/>
  <c r="BA110" i="13" s="1"/>
  <c r="AW78" i="13"/>
  <c r="AW110" i="13" s="1"/>
  <c r="AS78" i="13"/>
  <c r="AS110" i="13" s="1"/>
  <c r="AO78" i="13"/>
  <c r="AO110" i="13" s="1"/>
  <c r="AK78" i="13"/>
  <c r="AK110" i="13" s="1"/>
  <c r="AG78" i="13"/>
  <c r="AG110" i="13" s="1"/>
  <c r="AC78" i="13"/>
  <c r="AC110" i="13" s="1"/>
  <c r="Y78" i="13"/>
  <c r="Y110" i="13" s="1"/>
  <c r="U78" i="13"/>
  <c r="U110" i="13" s="1"/>
  <c r="BH78" i="13"/>
  <c r="BH110" i="13" s="1"/>
  <c r="AR78" i="13"/>
  <c r="AR110" i="13" s="1"/>
  <c r="AB78" i="13"/>
  <c r="AB110" i="13" s="1"/>
  <c r="AV78" i="13"/>
  <c r="AV110" i="13" s="1"/>
  <c r="BD78" i="13"/>
  <c r="BD110" i="13" s="1"/>
  <c r="AN78" i="13"/>
  <c r="AN110" i="13" s="1"/>
  <c r="X78" i="13"/>
  <c r="X110" i="13" s="1"/>
  <c r="AZ78" i="13"/>
  <c r="AZ110" i="13" s="1"/>
  <c r="AJ78" i="13"/>
  <c r="AJ110" i="13" s="1"/>
  <c r="AF78" i="13"/>
  <c r="AF110" i="13" s="1"/>
  <c r="BH90" i="13"/>
  <c r="BH122" i="13" s="1"/>
  <c r="BD90" i="13"/>
  <c r="BD122" i="13" s="1"/>
  <c r="AZ90" i="13"/>
  <c r="AZ122" i="13" s="1"/>
  <c r="AV90" i="13"/>
  <c r="AV122" i="13" s="1"/>
  <c r="AR90" i="13"/>
  <c r="AR122" i="13" s="1"/>
  <c r="AN90" i="13"/>
  <c r="AN122" i="13" s="1"/>
  <c r="AJ90" i="13"/>
  <c r="AJ122" i="13" s="1"/>
  <c r="AF90" i="13"/>
  <c r="AF122" i="13" s="1"/>
  <c r="AB90" i="13"/>
  <c r="AB122" i="13" s="1"/>
  <c r="X90" i="13"/>
  <c r="X122" i="13" s="1"/>
  <c r="BG90" i="13"/>
  <c r="BG122" i="13" s="1"/>
  <c r="BC90" i="13"/>
  <c r="BC122" i="13" s="1"/>
  <c r="AY90" i="13"/>
  <c r="AY122" i="13" s="1"/>
  <c r="AU90" i="13"/>
  <c r="AU122" i="13" s="1"/>
  <c r="AQ90" i="13"/>
  <c r="AQ122" i="13" s="1"/>
  <c r="AM90" i="13"/>
  <c r="AM122" i="13" s="1"/>
  <c r="AI90" i="13"/>
  <c r="AI122" i="13" s="1"/>
  <c r="AE90" i="13"/>
  <c r="AE122" i="13" s="1"/>
  <c r="AA90" i="13"/>
  <c r="AA122" i="13" s="1"/>
  <c r="W90" i="13"/>
  <c r="W122" i="13" s="1"/>
  <c r="BF90" i="13"/>
  <c r="BF122" i="13" s="1"/>
  <c r="BB90" i="13"/>
  <c r="BB122" i="13" s="1"/>
  <c r="AX90" i="13"/>
  <c r="AX122" i="13" s="1"/>
  <c r="AT90" i="13"/>
  <c r="AT122" i="13" s="1"/>
  <c r="AP90" i="13"/>
  <c r="AP122" i="13" s="1"/>
  <c r="AL90" i="13"/>
  <c r="AL122" i="13" s="1"/>
  <c r="AH90" i="13"/>
  <c r="AH122" i="13" s="1"/>
  <c r="AD90" i="13"/>
  <c r="AD122" i="13" s="1"/>
  <c r="Z90" i="13"/>
  <c r="Z122" i="13" s="1"/>
  <c r="V90" i="13"/>
  <c r="V122" i="13" s="1"/>
  <c r="BI90" i="13"/>
  <c r="BI122" i="13" s="1"/>
  <c r="AS90" i="13"/>
  <c r="AS122" i="13" s="1"/>
  <c r="AC90" i="13"/>
  <c r="AC122" i="13" s="1"/>
  <c r="AW90" i="13"/>
  <c r="AW122" i="13" s="1"/>
  <c r="AG90" i="13"/>
  <c r="AG122" i="13" s="1"/>
  <c r="BE90" i="13"/>
  <c r="BE122" i="13" s="1"/>
  <c r="AO90" i="13"/>
  <c r="AO122" i="13" s="1"/>
  <c r="Y90" i="13"/>
  <c r="Y122" i="13" s="1"/>
  <c r="BA90" i="13"/>
  <c r="BA122" i="13" s="1"/>
  <c r="AK90" i="13"/>
  <c r="AK122" i="13" s="1"/>
  <c r="U90" i="13"/>
  <c r="U122" i="13" s="1"/>
  <c r="T90" i="13"/>
  <c r="T122" i="13" s="1"/>
  <c r="BG91" i="13"/>
  <c r="BG123" i="13" s="1"/>
  <c r="BC91" i="13"/>
  <c r="BC123" i="13" s="1"/>
  <c r="AY91" i="13"/>
  <c r="AY123" i="13" s="1"/>
  <c r="AU91" i="13"/>
  <c r="AU123" i="13" s="1"/>
  <c r="AQ91" i="13"/>
  <c r="AQ123" i="13" s="1"/>
  <c r="AM91" i="13"/>
  <c r="AM123" i="13" s="1"/>
  <c r="AI91" i="13"/>
  <c r="AI123" i="13" s="1"/>
  <c r="AE91" i="13"/>
  <c r="AE123" i="13" s="1"/>
  <c r="AA91" i="13"/>
  <c r="AA123" i="13" s="1"/>
  <c r="W91" i="13"/>
  <c r="W123" i="13" s="1"/>
  <c r="BH91" i="13"/>
  <c r="BH123" i="13" s="1"/>
  <c r="BF91" i="13"/>
  <c r="BF123" i="13" s="1"/>
  <c r="BB91" i="13"/>
  <c r="BB123" i="13" s="1"/>
  <c r="AX91" i="13"/>
  <c r="AX123" i="13" s="1"/>
  <c r="AT91" i="13"/>
  <c r="AT123" i="13" s="1"/>
  <c r="AP91" i="13"/>
  <c r="AP123" i="13" s="1"/>
  <c r="AL91" i="13"/>
  <c r="AL123" i="13" s="1"/>
  <c r="AH91" i="13"/>
  <c r="AH123" i="13" s="1"/>
  <c r="AD91" i="13"/>
  <c r="AD123" i="13" s="1"/>
  <c r="Z91" i="13"/>
  <c r="Z123" i="13" s="1"/>
  <c r="V91" i="13"/>
  <c r="V123" i="13" s="1"/>
  <c r="AZ91" i="13"/>
  <c r="AZ123" i="13" s="1"/>
  <c r="BI91" i="13"/>
  <c r="BI123" i="13" s="1"/>
  <c r="BE91" i="13"/>
  <c r="BE123" i="13" s="1"/>
  <c r="BA91" i="13"/>
  <c r="BA123" i="13" s="1"/>
  <c r="AW91" i="13"/>
  <c r="AW123" i="13" s="1"/>
  <c r="AS91" i="13"/>
  <c r="AS123" i="13" s="1"/>
  <c r="AO91" i="13"/>
  <c r="AO123" i="13" s="1"/>
  <c r="AK91" i="13"/>
  <c r="AK123" i="13" s="1"/>
  <c r="AG91" i="13"/>
  <c r="AG123" i="13" s="1"/>
  <c r="AC91" i="13"/>
  <c r="AC123" i="13" s="1"/>
  <c r="Y91" i="13"/>
  <c r="Y123" i="13" s="1"/>
  <c r="U91" i="13"/>
  <c r="U123" i="13" s="1"/>
  <c r="T91" i="13"/>
  <c r="T123" i="13" s="1"/>
  <c r="BD91" i="13"/>
  <c r="BD123" i="13" s="1"/>
  <c r="AJ91" i="13"/>
  <c r="AJ123" i="13" s="1"/>
  <c r="AN91" i="13"/>
  <c r="AN123" i="13" s="1"/>
  <c r="AV91" i="13"/>
  <c r="AV123" i="13" s="1"/>
  <c r="AF91" i="13"/>
  <c r="AF123" i="13" s="1"/>
  <c r="AR91" i="13"/>
  <c r="AR123" i="13" s="1"/>
  <c r="AB91" i="13"/>
  <c r="AB123" i="13" s="1"/>
  <c r="X91" i="13"/>
  <c r="X123" i="13" s="1"/>
  <c r="BI80" i="13"/>
  <c r="BI112" i="13" s="1"/>
  <c r="BE80" i="13"/>
  <c r="BE112" i="13" s="1"/>
  <c r="BA80" i="13"/>
  <c r="BA112" i="13" s="1"/>
  <c r="AW80" i="13"/>
  <c r="AW112" i="13" s="1"/>
  <c r="AS80" i="13"/>
  <c r="AS112" i="13" s="1"/>
  <c r="AO80" i="13"/>
  <c r="AO112" i="13" s="1"/>
  <c r="AK80" i="13"/>
  <c r="AK112" i="13" s="1"/>
  <c r="AG80" i="13"/>
  <c r="AG112" i="13" s="1"/>
  <c r="AC80" i="13"/>
  <c r="AC112" i="13" s="1"/>
  <c r="Y80" i="13"/>
  <c r="Y112" i="13" s="1"/>
  <c r="U80" i="13"/>
  <c r="U112" i="13" s="1"/>
  <c r="BH80" i="13"/>
  <c r="BH112" i="13" s="1"/>
  <c r="BD80" i="13"/>
  <c r="BD112" i="13" s="1"/>
  <c r="AZ80" i="13"/>
  <c r="AZ112" i="13" s="1"/>
  <c r="AV80" i="13"/>
  <c r="AV112" i="13" s="1"/>
  <c r="AR80" i="13"/>
  <c r="AR112" i="13" s="1"/>
  <c r="AN80" i="13"/>
  <c r="AN112" i="13" s="1"/>
  <c r="AJ80" i="13"/>
  <c r="AJ112" i="13" s="1"/>
  <c r="AF80" i="13"/>
  <c r="AF112" i="13" s="1"/>
  <c r="AB80" i="13"/>
  <c r="AB112" i="13" s="1"/>
  <c r="X80" i="13"/>
  <c r="X112" i="13" s="1"/>
  <c r="BG80" i="13"/>
  <c r="BG112" i="13" s="1"/>
  <c r="BC80" i="13"/>
  <c r="BC112" i="13" s="1"/>
  <c r="AY80" i="13"/>
  <c r="AY112" i="13" s="1"/>
  <c r="AU80" i="13"/>
  <c r="AU112" i="13" s="1"/>
  <c r="AQ80" i="13"/>
  <c r="AQ112" i="13" s="1"/>
  <c r="AM80" i="13"/>
  <c r="AM112" i="13" s="1"/>
  <c r="AI80" i="13"/>
  <c r="AI112" i="13" s="1"/>
  <c r="AE80" i="13"/>
  <c r="AE112" i="13" s="1"/>
  <c r="AA80" i="13"/>
  <c r="AA112" i="13" s="1"/>
  <c r="W80" i="13"/>
  <c r="W112" i="13" s="1"/>
  <c r="BF80" i="13"/>
  <c r="BF112" i="13" s="1"/>
  <c r="AP80" i="13"/>
  <c r="AP112" i="13" s="1"/>
  <c r="Z80" i="13"/>
  <c r="Z112" i="13" s="1"/>
  <c r="T80" i="13"/>
  <c r="T112" i="13" s="1"/>
  <c r="AT80" i="13"/>
  <c r="AT112" i="13" s="1"/>
  <c r="AD80" i="13"/>
  <c r="AD112" i="13" s="1"/>
  <c r="BB80" i="13"/>
  <c r="BB112" i="13" s="1"/>
  <c r="AL80" i="13"/>
  <c r="AL112" i="13" s="1"/>
  <c r="V80" i="13"/>
  <c r="V112" i="13" s="1"/>
  <c r="AX80" i="13"/>
  <c r="AX112" i="13" s="1"/>
  <c r="AH80" i="13"/>
  <c r="AH112" i="13" s="1"/>
  <c r="BC116" i="13"/>
  <c r="BG116" i="13"/>
  <c r="S60" i="31"/>
  <c r="T60" i="31" s="1"/>
  <c r="U60" i="31" s="1"/>
  <c r="V60" i="31" s="1"/>
  <c r="W60" i="31" s="1"/>
  <c r="X60" i="31" s="1"/>
  <c r="Y60" i="31" s="1"/>
  <c r="Z60" i="31" s="1"/>
  <c r="AA60" i="31" s="1"/>
  <c r="AB60" i="31" s="1"/>
  <c r="AC60" i="31" s="1"/>
  <c r="AD60" i="31" s="1"/>
  <c r="AE60" i="31" s="1"/>
  <c r="AF60" i="31" s="1"/>
  <c r="AG60" i="31" s="1"/>
  <c r="AH60" i="31" s="1"/>
  <c r="AI60" i="31" s="1"/>
  <c r="AJ60" i="31" s="1"/>
  <c r="AK60" i="31" s="1"/>
  <c r="AL60" i="31" s="1"/>
  <c r="AM60" i="31" s="1"/>
  <c r="AN60" i="31" s="1"/>
  <c r="AO60" i="31" s="1"/>
  <c r="AP60" i="31" s="1"/>
  <c r="AQ60" i="31" s="1"/>
  <c r="AR60" i="31" s="1"/>
  <c r="AS60" i="31" s="1"/>
  <c r="AT60" i="31" s="1"/>
  <c r="AU60" i="31" s="1"/>
  <c r="AV60" i="31" s="1"/>
  <c r="AW60" i="31" s="1"/>
  <c r="AX60" i="31" s="1"/>
  <c r="AY60" i="31" s="1"/>
  <c r="S55" i="31"/>
  <c r="T55" i="31" s="1"/>
  <c r="U55" i="31" s="1"/>
  <c r="V55" i="31" s="1"/>
  <c r="W55" i="31" s="1"/>
  <c r="X55" i="31" s="1"/>
  <c r="Y55" i="31" s="1"/>
  <c r="Z55" i="31" s="1"/>
  <c r="AA55" i="31" s="1"/>
  <c r="AB55" i="31" s="1"/>
  <c r="AC55" i="31" s="1"/>
  <c r="AD55" i="31" s="1"/>
  <c r="AE55" i="31" s="1"/>
  <c r="AF55" i="31" s="1"/>
  <c r="AG55" i="31" s="1"/>
  <c r="AH55" i="31" s="1"/>
  <c r="AI55" i="31" s="1"/>
  <c r="AJ55" i="31" s="1"/>
  <c r="AK55" i="31" s="1"/>
  <c r="AL55" i="31" s="1"/>
  <c r="AM55" i="31" s="1"/>
  <c r="AN55" i="31" s="1"/>
  <c r="AO55" i="31" s="1"/>
  <c r="AP55" i="31" s="1"/>
  <c r="AQ55" i="31" s="1"/>
  <c r="AR55" i="31" s="1"/>
  <c r="AS55" i="31" s="1"/>
  <c r="AT55" i="31" s="1"/>
  <c r="AU55" i="31" s="1"/>
  <c r="AV55" i="31" s="1"/>
  <c r="AW55" i="31" s="1"/>
  <c r="AX55" i="31" s="1"/>
  <c r="AY55" i="31" s="1"/>
  <c r="S57" i="31"/>
  <c r="T57" i="31" s="1"/>
  <c r="U57" i="31" s="1"/>
  <c r="V57" i="31" s="1"/>
  <c r="W57" i="31" s="1"/>
  <c r="X57" i="31" s="1"/>
  <c r="Y57" i="31" s="1"/>
  <c r="Z57" i="31" s="1"/>
  <c r="AA57" i="31" s="1"/>
  <c r="AB57" i="31" s="1"/>
  <c r="AC57" i="31" s="1"/>
  <c r="AD57" i="31" s="1"/>
  <c r="AE57" i="31" s="1"/>
  <c r="AF57" i="31" s="1"/>
  <c r="AG57" i="31" s="1"/>
  <c r="AH57" i="31" s="1"/>
  <c r="AI57" i="31" s="1"/>
  <c r="AJ57" i="31" s="1"/>
  <c r="AK57" i="31" s="1"/>
  <c r="AL57" i="31" s="1"/>
  <c r="AM57" i="31" s="1"/>
  <c r="AN57" i="31" s="1"/>
  <c r="AO57" i="31" s="1"/>
  <c r="AP57" i="31" s="1"/>
  <c r="AQ57" i="31" s="1"/>
  <c r="AR57" i="31" s="1"/>
  <c r="AS57" i="31" s="1"/>
  <c r="AT57" i="31" s="1"/>
  <c r="AU57" i="31" s="1"/>
  <c r="AV57" i="31" s="1"/>
  <c r="AW57" i="31" s="1"/>
  <c r="AX57" i="31" s="1"/>
  <c r="AY57" i="31" s="1"/>
  <c r="S69" i="31"/>
  <c r="T69" i="31" s="1"/>
  <c r="U69" i="31" s="1"/>
  <c r="V69" i="31" s="1"/>
  <c r="W69" i="31" s="1"/>
  <c r="X69" i="31" s="1"/>
  <c r="Y69" i="31" s="1"/>
  <c r="Z69" i="31" s="1"/>
  <c r="AA69" i="31" s="1"/>
  <c r="AB69" i="31" s="1"/>
  <c r="AC69" i="31" s="1"/>
  <c r="AD69" i="31" s="1"/>
  <c r="AE69" i="31" s="1"/>
  <c r="AF69" i="31" s="1"/>
  <c r="AG69" i="31" s="1"/>
  <c r="AH69" i="31" s="1"/>
  <c r="AI69" i="31" s="1"/>
  <c r="AJ69" i="31" s="1"/>
  <c r="AK69" i="31" s="1"/>
  <c r="AL69" i="31" s="1"/>
  <c r="AM69" i="31" s="1"/>
  <c r="AN69" i="31" s="1"/>
  <c r="AO69" i="31" s="1"/>
  <c r="AP69" i="31" s="1"/>
  <c r="AQ69" i="31" s="1"/>
  <c r="AR69" i="31" s="1"/>
  <c r="AS69" i="31" s="1"/>
  <c r="AT69" i="31" s="1"/>
  <c r="AU69" i="31" s="1"/>
  <c r="AV69" i="31" s="1"/>
  <c r="AW69" i="31" s="1"/>
  <c r="AX69" i="31" s="1"/>
  <c r="AY69" i="31" s="1"/>
  <c r="S59" i="31"/>
  <c r="T59" i="31" s="1"/>
  <c r="U59" i="31" s="1"/>
  <c r="V59" i="31" s="1"/>
  <c r="W59" i="31" s="1"/>
  <c r="X59" i="31" s="1"/>
  <c r="Y59" i="31" s="1"/>
  <c r="Z59" i="31" s="1"/>
  <c r="AA59" i="31" s="1"/>
  <c r="AB59" i="31" s="1"/>
  <c r="AC59" i="31" s="1"/>
  <c r="AD59" i="31" s="1"/>
  <c r="AE59" i="31" s="1"/>
  <c r="AF59" i="31" s="1"/>
  <c r="AG59" i="31" s="1"/>
  <c r="AH59" i="31" s="1"/>
  <c r="AI59" i="31" s="1"/>
  <c r="AJ59" i="31" s="1"/>
  <c r="AK59" i="31" s="1"/>
  <c r="AL59" i="31" s="1"/>
  <c r="AM59" i="31" s="1"/>
  <c r="AN59" i="31" s="1"/>
  <c r="AO59" i="31" s="1"/>
  <c r="AP59" i="31" s="1"/>
  <c r="AQ59" i="31" s="1"/>
  <c r="AR59" i="31" s="1"/>
  <c r="AS59" i="31" s="1"/>
  <c r="AT59" i="31" s="1"/>
  <c r="AU59" i="31" s="1"/>
  <c r="AV59" i="31" s="1"/>
  <c r="AW59" i="31" s="1"/>
  <c r="AX59" i="31" s="1"/>
  <c r="AY59" i="31" s="1"/>
  <c r="S58" i="31"/>
  <c r="T58" i="31" s="1"/>
  <c r="U58" i="31" s="1"/>
  <c r="V58" i="31" s="1"/>
  <c r="W58" i="31" s="1"/>
  <c r="X58" i="31" s="1"/>
  <c r="Y58" i="31" s="1"/>
  <c r="Z58" i="31" s="1"/>
  <c r="AA58" i="31" s="1"/>
  <c r="AB58" i="31" s="1"/>
  <c r="AC58" i="31" s="1"/>
  <c r="AD58" i="31" s="1"/>
  <c r="AE58" i="31" s="1"/>
  <c r="AF58" i="31" s="1"/>
  <c r="AG58" i="31" s="1"/>
  <c r="AH58" i="31" s="1"/>
  <c r="AI58" i="31" s="1"/>
  <c r="AJ58" i="31" s="1"/>
  <c r="AK58" i="31" s="1"/>
  <c r="AL58" i="31" s="1"/>
  <c r="AM58" i="31" s="1"/>
  <c r="AN58" i="31" s="1"/>
  <c r="AO58" i="31" s="1"/>
  <c r="AP58" i="31" s="1"/>
  <c r="AQ58" i="31" s="1"/>
  <c r="AR58" i="31" s="1"/>
  <c r="AS58" i="31" s="1"/>
  <c r="AT58" i="31" s="1"/>
  <c r="AU58" i="31" s="1"/>
  <c r="AV58" i="31" s="1"/>
  <c r="AW58" i="31" s="1"/>
  <c r="AX58" i="31" s="1"/>
  <c r="AY58" i="31" s="1"/>
  <c r="S67" i="31"/>
  <c r="T67" i="31" s="1"/>
  <c r="U67" i="31" s="1"/>
  <c r="V67" i="31" s="1"/>
  <c r="W67" i="31" s="1"/>
  <c r="X67" i="31" s="1"/>
  <c r="Y67" i="31" s="1"/>
  <c r="Z67" i="31" s="1"/>
  <c r="AA67" i="31" s="1"/>
  <c r="AB67" i="31" s="1"/>
  <c r="AC67" i="31" s="1"/>
  <c r="AD67" i="31" s="1"/>
  <c r="AE67" i="31" s="1"/>
  <c r="AF67" i="31" s="1"/>
  <c r="AG67" i="31" s="1"/>
  <c r="AH67" i="31" s="1"/>
  <c r="AI67" i="31" s="1"/>
  <c r="AJ67" i="31" s="1"/>
  <c r="AK67" i="31" s="1"/>
  <c r="AL67" i="31" s="1"/>
  <c r="AM67" i="31" s="1"/>
  <c r="AN67" i="31" s="1"/>
  <c r="AO67" i="31" s="1"/>
  <c r="AP67" i="31" s="1"/>
  <c r="AQ67" i="31" s="1"/>
  <c r="AR67" i="31" s="1"/>
  <c r="AS67" i="31" s="1"/>
  <c r="AT67" i="31" s="1"/>
  <c r="AU67" i="31" s="1"/>
  <c r="AV67" i="31" s="1"/>
  <c r="AW67" i="31" s="1"/>
  <c r="AX67" i="31" s="1"/>
  <c r="AY67" i="31" s="1"/>
  <c r="U22" i="30"/>
  <c r="V22" i="30" s="1"/>
  <c r="W22" i="30" s="1"/>
  <c r="X22" i="30" s="1"/>
  <c r="Y22" i="30" s="1"/>
  <c r="Z22" i="30" s="1"/>
  <c r="AA22" i="30" s="1"/>
  <c r="AB22" i="30" s="1"/>
  <c r="AC22" i="30" s="1"/>
  <c r="AD22" i="30" s="1"/>
  <c r="AE22" i="30" s="1"/>
  <c r="AF22" i="30" s="1"/>
  <c r="AG22" i="30" s="1"/>
  <c r="AH22" i="30" s="1"/>
  <c r="AI22" i="30" s="1"/>
  <c r="AJ22" i="30" s="1"/>
  <c r="AK22" i="30" s="1"/>
  <c r="AL22" i="30" s="1"/>
  <c r="AM22" i="30" s="1"/>
  <c r="AN22" i="30" s="1"/>
  <c r="AO22" i="30" s="1"/>
  <c r="AP22" i="30" s="1"/>
  <c r="AQ22" i="30" s="1"/>
  <c r="AR22" i="30" s="1"/>
  <c r="AS22" i="30" s="1"/>
  <c r="AT22" i="30" s="1"/>
  <c r="AU22" i="30" s="1"/>
  <c r="AV22" i="30" s="1"/>
  <c r="AW22" i="30" s="1"/>
  <c r="AX22" i="30" s="1"/>
  <c r="AY22" i="30" s="1"/>
  <c r="U23" i="30"/>
  <c r="V23" i="30" s="1"/>
  <c r="W23" i="30" s="1"/>
  <c r="X23" i="30" s="1"/>
  <c r="Y23" i="30" s="1"/>
  <c r="Z23" i="30" s="1"/>
  <c r="AA23" i="30" s="1"/>
  <c r="AB23" i="30" s="1"/>
  <c r="AC23" i="30" s="1"/>
  <c r="AD23" i="30" s="1"/>
  <c r="AE23" i="30" s="1"/>
  <c r="AF23" i="30" s="1"/>
  <c r="AG23" i="30" s="1"/>
  <c r="AH23" i="30" s="1"/>
  <c r="AI23" i="30" s="1"/>
  <c r="AJ23" i="30" s="1"/>
  <c r="AK23" i="30" s="1"/>
  <c r="AL23" i="30" s="1"/>
  <c r="AM23" i="30" s="1"/>
  <c r="AN23" i="30" s="1"/>
  <c r="AO23" i="30" s="1"/>
  <c r="AP23" i="30" s="1"/>
  <c r="AQ23" i="30" s="1"/>
  <c r="AR23" i="30" s="1"/>
  <c r="AS23" i="30" s="1"/>
  <c r="AT23" i="30" s="1"/>
  <c r="AU23" i="30" s="1"/>
  <c r="AV23" i="30" s="1"/>
  <c r="AW23" i="30" s="1"/>
  <c r="AX23" i="30" s="1"/>
  <c r="AY23" i="30" s="1"/>
  <c r="U21" i="30"/>
  <c r="V21" i="30" s="1"/>
  <c r="W21" i="30" s="1"/>
  <c r="X21" i="30" s="1"/>
  <c r="Y21" i="30" s="1"/>
  <c r="Z21" i="30" s="1"/>
  <c r="AA21" i="30" s="1"/>
  <c r="AB21" i="30" s="1"/>
  <c r="AC21" i="30" s="1"/>
  <c r="AD21" i="30" s="1"/>
  <c r="AE21" i="30" s="1"/>
  <c r="AF21" i="30" s="1"/>
  <c r="AG21" i="30" s="1"/>
  <c r="AH21" i="30" s="1"/>
  <c r="AI21" i="30" s="1"/>
  <c r="AJ21" i="30" s="1"/>
  <c r="AK21" i="30" s="1"/>
  <c r="AL21" i="30" s="1"/>
  <c r="AM21" i="30" s="1"/>
  <c r="AN21" i="30" s="1"/>
  <c r="AO21" i="30" s="1"/>
  <c r="AP21" i="30" s="1"/>
  <c r="AQ21" i="30" s="1"/>
  <c r="AR21" i="30" s="1"/>
  <c r="AS21" i="30" s="1"/>
  <c r="AT21" i="30" s="1"/>
  <c r="AU21" i="30" s="1"/>
  <c r="AV21" i="30" s="1"/>
  <c r="AW21" i="30" s="1"/>
  <c r="AX21" i="30" s="1"/>
  <c r="AY21" i="30" s="1"/>
  <c r="C37" i="28"/>
  <c r="R58" i="26"/>
  <c r="R96" i="19"/>
  <c r="W8" i="17"/>
  <c r="V253" i="17" s="1"/>
  <c r="W54" i="14"/>
  <c r="BD57" i="14"/>
  <c r="BC59" i="14"/>
  <c r="BC15" i="17"/>
  <c r="BB254" i="17" s="1"/>
  <c r="X50" i="14"/>
  <c r="T63" i="8"/>
  <c r="U63" i="8" s="1"/>
  <c r="S58" i="26"/>
  <c r="S96" i="19"/>
  <c r="D37" i="28"/>
  <c r="U119" i="24"/>
  <c r="U158" i="24"/>
  <c r="U132" i="24"/>
  <c r="U122" i="24"/>
  <c r="U161" i="24"/>
  <c r="U183" i="24"/>
  <c r="U128" i="24"/>
  <c r="U167" i="24"/>
  <c r="U170" i="24"/>
  <c r="U186" i="24"/>
  <c r="U135" i="24"/>
  <c r="U116" i="24"/>
  <c r="U151" i="24"/>
  <c r="U179" i="24"/>
  <c r="U173" i="24"/>
  <c r="U148" i="24"/>
  <c r="U154" i="24"/>
  <c r="U142" i="24"/>
  <c r="U176" i="24"/>
  <c r="U145" i="24"/>
  <c r="U125" i="24"/>
  <c r="S134" i="24"/>
  <c r="R136" i="24"/>
  <c r="S172" i="24"/>
  <c r="R174" i="24"/>
  <c r="AZ56" i="8"/>
  <c r="AZ61" i="8"/>
  <c r="AZ54" i="16" s="1"/>
  <c r="R146" i="24"/>
  <c r="S144" i="24"/>
  <c r="S121" i="24"/>
  <c r="R123" i="24"/>
  <c r="S124" i="24"/>
  <c r="R126" i="24"/>
  <c r="S157" i="24"/>
  <c r="R159" i="24"/>
  <c r="R143" i="24"/>
  <c r="S141" i="24"/>
  <c r="S127" i="24"/>
  <c r="R129" i="24"/>
  <c r="U102" i="23"/>
  <c r="U123" i="23" s="1"/>
  <c r="U136" i="23" s="1"/>
  <c r="S115" i="24"/>
  <c r="R117" i="24"/>
  <c r="S153" i="24"/>
  <c r="R155" i="24"/>
  <c r="S169" i="24"/>
  <c r="R171" i="24"/>
  <c r="R187" i="24"/>
  <c r="S185" i="24"/>
  <c r="BA26" i="8"/>
  <c r="AZ59" i="16"/>
  <c r="S118" i="24"/>
  <c r="R120" i="24"/>
  <c r="S160" i="24"/>
  <c r="R162" i="24"/>
  <c r="R184" i="24"/>
  <c r="S182" i="24"/>
  <c r="S147" i="24"/>
  <c r="R149" i="24"/>
  <c r="S131" i="24"/>
  <c r="R133" i="24"/>
  <c r="S166" i="24"/>
  <c r="R168" i="24"/>
  <c r="S175" i="24"/>
  <c r="R177" i="24"/>
  <c r="R152" i="24"/>
  <c r="S150" i="24"/>
  <c r="S178" i="24"/>
  <c r="R180" i="24"/>
  <c r="X59" i="14"/>
  <c r="V12" i="19"/>
  <c r="X51" i="14"/>
  <c r="X9" i="19" s="1"/>
  <c r="BD8" i="17"/>
  <c r="BE50" i="14"/>
  <c r="W9" i="17"/>
  <c r="V12" i="17"/>
  <c r="AH12" i="17"/>
  <c r="AI9" i="17"/>
  <c r="Z10" i="17"/>
  <c r="AI10" i="17"/>
  <c r="BD16" i="17"/>
  <c r="BG9" i="17"/>
  <c r="BG10" i="17"/>
  <c r="AI8" i="17"/>
  <c r="Y11" i="17"/>
  <c r="AI11" i="17"/>
  <c r="AJ57" i="14"/>
  <c r="AJ15" i="19" s="1"/>
  <c r="AI15" i="17"/>
  <c r="AH254" i="17" s="1"/>
  <c r="AK58" i="14"/>
  <c r="AK16" i="19" s="1"/>
  <c r="AJ16" i="17"/>
  <c r="BD54" i="14"/>
  <c r="BD11" i="17"/>
  <c r="AI59" i="14"/>
  <c r="Y57" i="14"/>
  <c r="X15" i="17"/>
  <c r="W254" i="17" s="1"/>
  <c r="Z58" i="14"/>
  <c r="Z16" i="19" s="1"/>
  <c r="Y16" i="17"/>
  <c r="AF8" i="13"/>
  <c r="AA8" i="13"/>
  <c r="BH52" i="14"/>
  <c r="BH10" i="19" s="1"/>
  <c r="BH51" i="14"/>
  <c r="BH9" i="19" s="1"/>
  <c r="AJ52" i="14"/>
  <c r="AJ10" i="19" s="1"/>
  <c r="Z53" i="14"/>
  <c r="Z11" i="19" s="1"/>
  <c r="BE53" i="14"/>
  <c r="BE11" i="19" s="1"/>
  <c r="AJ53" i="14"/>
  <c r="AJ11" i="19" s="1"/>
  <c r="AA52" i="14"/>
  <c r="AA10" i="19" s="1"/>
  <c r="AI54" i="14"/>
  <c r="AJ50" i="14"/>
  <c r="AJ51" i="14"/>
  <c r="AJ9" i="19" s="1"/>
  <c r="Z215" i="14"/>
  <c r="BE58" i="14"/>
  <c r="BE16" i="19" s="1"/>
  <c r="AK8" i="13"/>
  <c r="BA8" i="13"/>
  <c r="S8" i="13"/>
  <c r="W8" i="13"/>
  <c r="AG8" i="13"/>
  <c r="X110" i="23" l="1"/>
  <c r="W147" i="23"/>
  <c r="W124" i="23"/>
  <c r="X108" i="23"/>
  <c r="W145" i="23"/>
  <c r="X109" i="23"/>
  <c r="W146" i="23"/>
  <c r="X107" i="23"/>
  <c r="W144" i="23"/>
  <c r="Z289" i="14"/>
  <c r="Z287" i="14"/>
  <c r="Z288" i="14"/>
  <c r="AZ234" i="24"/>
  <c r="AZ236" i="24"/>
  <c r="AZ235" i="24"/>
  <c r="AZ237" i="24"/>
  <c r="AZ233" i="24"/>
  <c r="AU91" i="17"/>
  <c r="X323" i="14"/>
  <c r="X325" i="14"/>
  <c r="X324" i="14"/>
  <c r="X321" i="14"/>
  <c r="X330" i="14"/>
  <c r="X319" i="14"/>
  <c r="X318" i="14"/>
  <c r="X322" i="14"/>
  <c r="X331" i="14"/>
  <c r="X326" i="14"/>
  <c r="X329" i="14"/>
  <c r="X320" i="14"/>
  <c r="X327" i="14"/>
  <c r="X328" i="14"/>
  <c r="X8" i="17"/>
  <c r="W253" i="17" s="1"/>
  <c r="V96" i="19"/>
  <c r="V58" i="26"/>
  <c r="V88" i="26" s="1"/>
  <c r="G37" i="28"/>
  <c r="Y15" i="19"/>
  <c r="V103" i="23"/>
  <c r="U137" i="23"/>
  <c r="AH253" i="17"/>
  <c r="W12" i="19"/>
  <c r="X8" i="19"/>
  <c r="X12" i="19" s="1"/>
  <c r="AJ8" i="19"/>
  <c r="AJ12" i="19" s="1"/>
  <c r="BD12" i="17"/>
  <c r="BC253" i="17"/>
  <c r="BD15" i="19"/>
  <c r="BE8" i="19"/>
  <c r="BE12" i="19" s="1"/>
  <c r="Z228" i="14"/>
  <c r="Y50" i="14"/>
  <c r="X54" i="14"/>
  <c r="V148" i="24"/>
  <c r="V176" i="24"/>
  <c r="V173" i="24"/>
  <c r="V135" i="24"/>
  <c r="V128" i="24"/>
  <c r="V132" i="24"/>
  <c r="V125" i="24"/>
  <c r="V154" i="24"/>
  <c r="V151" i="24"/>
  <c r="V170" i="24"/>
  <c r="V161" i="24"/>
  <c r="V119" i="24"/>
  <c r="V145" i="24"/>
  <c r="V116" i="24"/>
  <c r="V167" i="24"/>
  <c r="V122" i="24"/>
  <c r="F37" i="28"/>
  <c r="U58" i="26"/>
  <c r="U88" i="26" s="1"/>
  <c r="U96" i="19"/>
  <c r="V142" i="24"/>
  <c r="V179" i="24"/>
  <c r="V186" i="24"/>
  <c r="V183" i="24"/>
  <c r="V158" i="24"/>
  <c r="AZ61" i="16"/>
  <c r="AZ226" i="24"/>
  <c r="AZ58" i="16"/>
  <c r="AZ43" i="22"/>
  <c r="AZ46" i="31"/>
  <c r="AZ13" i="30"/>
  <c r="AZ22" i="30" s="1"/>
  <c r="AZ224" i="24"/>
  <c r="AZ225" i="24"/>
  <c r="AZ227" i="24"/>
  <c r="AZ228" i="24"/>
  <c r="AZ60" i="16"/>
  <c r="AZ42" i="22"/>
  <c r="AZ56" i="16"/>
  <c r="AZ41" i="22"/>
  <c r="AZ57" i="16"/>
  <c r="AZ44" i="22"/>
  <c r="Y51" i="14"/>
  <c r="Y9" i="19" s="1"/>
  <c r="X9" i="17"/>
  <c r="BD15" i="17"/>
  <c r="BC254" i="17" s="1"/>
  <c r="BF50" i="14"/>
  <c r="BE8" i="17"/>
  <c r="BE57" i="14"/>
  <c r="BD59" i="14"/>
  <c r="T96" i="19"/>
  <c r="E37" i="28"/>
  <c r="T58" i="26"/>
  <c r="T88" i="26" s="1"/>
  <c r="T178" i="24"/>
  <c r="S180" i="24"/>
  <c r="S155" i="24"/>
  <c r="T153" i="24"/>
  <c r="T127" i="24"/>
  <c r="S129" i="24"/>
  <c r="T157" i="24"/>
  <c r="S159" i="24"/>
  <c r="S187" i="24"/>
  <c r="T185" i="24"/>
  <c r="V102" i="23"/>
  <c r="V123" i="23" s="1"/>
  <c r="V136" i="23" s="1"/>
  <c r="S146" i="24"/>
  <c r="T144" i="24"/>
  <c r="S136" i="24"/>
  <c r="T134" i="24"/>
  <c r="S133" i="24"/>
  <c r="T131" i="24"/>
  <c r="S152" i="24"/>
  <c r="T150" i="24"/>
  <c r="S120" i="24"/>
  <c r="T118" i="24"/>
  <c r="BA56" i="8"/>
  <c r="BA61" i="8"/>
  <c r="T141" i="24"/>
  <c r="S143" i="24"/>
  <c r="AZ104" i="23"/>
  <c r="S126" i="24"/>
  <c r="T124" i="24"/>
  <c r="S174" i="24"/>
  <c r="T172" i="24"/>
  <c r="T182" i="24"/>
  <c r="S184" i="24"/>
  <c r="T175" i="24"/>
  <c r="S177" i="24"/>
  <c r="BB26" i="8"/>
  <c r="T166" i="24"/>
  <c r="S168" i="24"/>
  <c r="T147" i="24"/>
  <c r="S149" i="24"/>
  <c r="S162" i="24"/>
  <c r="T160" i="24"/>
  <c r="T169" i="24"/>
  <c r="S171" i="24"/>
  <c r="T115" i="24"/>
  <c r="S117" i="24"/>
  <c r="T121" i="24"/>
  <c r="S123" i="24"/>
  <c r="AZ53" i="16"/>
  <c r="AZ45" i="22"/>
  <c r="AZ55" i="16"/>
  <c r="W12" i="17"/>
  <c r="AI12" i="17"/>
  <c r="AJ8" i="17"/>
  <c r="Y59" i="14"/>
  <c r="BE16" i="17"/>
  <c r="AJ11" i="17"/>
  <c r="Z11" i="17"/>
  <c r="BH9" i="17"/>
  <c r="AJ9" i="17"/>
  <c r="AJ59" i="14"/>
  <c r="AA10" i="17"/>
  <c r="AJ10" i="17"/>
  <c r="BH10" i="17"/>
  <c r="BE54" i="14"/>
  <c r="BE11" i="17"/>
  <c r="AL58" i="14"/>
  <c r="AL16" i="19" s="1"/>
  <c r="AK16" i="17"/>
  <c r="AA58" i="14"/>
  <c r="AA16" i="19" s="1"/>
  <c r="Z16" i="17"/>
  <c r="Z57" i="14"/>
  <c r="Y15" i="17"/>
  <c r="X254" i="17" s="1"/>
  <c r="AK57" i="14"/>
  <c r="AK15" i="19" s="1"/>
  <c r="AJ15" i="17"/>
  <c r="AI254" i="17" s="1"/>
  <c r="AB8" i="13"/>
  <c r="AA53" i="14"/>
  <c r="AA11" i="19" s="1"/>
  <c r="AK51" i="14"/>
  <c r="AK9" i="19" s="1"/>
  <c r="BI51" i="14"/>
  <c r="AK53" i="14"/>
  <c r="AK11" i="19" s="1"/>
  <c r="AB52" i="14"/>
  <c r="AB10" i="19" s="1"/>
  <c r="BF53" i="14"/>
  <c r="BF11" i="19" s="1"/>
  <c r="AJ54" i="14"/>
  <c r="AK50" i="14"/>
  <c r="AK52" i="14"/>
  <c r="AK10" i="19" s="1"/>
  <c r="BI52" i="14"/>
  <c r="AA215" i="14"/>
  <c r="BF58" i="14"/>
  <c r="BF16" i="19" s="1"/>
  <c r="X8" i="13"/>
  <c r="AP8" i="13"/>
  <c r="AC8" i="13"/>
  <c r="AH8" i="13"/>
  <c r="AL8" i="13"/>
  <c r="BB8" i="13"/>
  <c r="Y108" i="23" l="1"/>
  <c r="X145" i="23"/>
  <c r="Y109" i="23"/>
  <c r="X146" i="23"/>
  <c r="Y107" i="23"/>
  <c r="X144" i="23"/>
  <c r="Y110" i="23"/>
  <c r="X147" i="23"/>
  <c r="X124" i="23"/>
  <c r="AA287" i="14"/>
  <c r="AA289" i="14"/>
  <c r="AA288" i="14"/>
  <c r="BA237" i="24"/>
  <c r="BA235" i="24"/>
  <c r="BA236" i="24"/>
  <c r="BA233" i="24"/>
  <c r="BA234" i="24"/>
  <c r="W96" i="19"/>
  <c r="W58" i="26"/>
  <c r="W88" i="26" s="1"/>
  <c r="AV91" i="17"/>
  <c r="V136" i="19"/>
  <c r="V137" i="19"/>
  <c r="V135" i="19"/>
  <c r="T137" i="19"/>
  <c r="T150" i="19" s="1"/>
  <c r="T136" i="19"/>
  <c r="T135" i="19"/>
  <c r="U137" i="19"/>
  <c r="U150" i="19" s="1"/>
  <c r="U136" i="19"/>
  <c r="U135" i="19"/>
  <c r="Y330" i="14"/>
  <c r="Y325" i="14"/>
  <c r="Y331" i="14"/>
  <c r="Y327" i="14"/>
  <c r="Y329" i="14"/>
  <c r="Y323" i="14"/>
  <c r="Y326" i="14"/>
  <c r="Y321" i="14"/>
  <c r="Y328" i="14"/>
  <c r="Y319" i="14"/>
  <c r="Y318" i="14"/>
  <c r="Y322" i="14"/>
  <c r="Y324" i="14"/>
  <c r="Y320" i="14"/>
  <c r="Y54" i="14"/>
  <c r="BA60" i="16"/>
  <c r="C95" i="28"/>
  <c r="D95" i="28" s="1"/>
  <c r="E95" i="28" s="1"/>
  <c r="F95" i="28" s="1"/>
  <c r="G95" i="28" s="1"/>
  <c r="H95" i="28" s="1"/>
  <c r="I95" i="28" s="1"/>
  <c r="J95" i="28" s="1"/>
  <c r="K95" i="28" s="1"/>
  <c r="L95" i="28" s="1"/>
  <c r="M95" i="28" s="1"/>
  <c r="N95" i="28" s="1"/>
  <c r="O95" i="28" s="1"/>
  <c r="P95" i="28" s="1"/>
  <c r="Q95" i="28" s="1"/>
  <c r="C92" i="28"/>
  <c r="D92" i="28" s="1"/>
  <c r="E92" i="28" s="1"/>
  <c r="F92" i="28" s="1"/>
  <c r="G92" i="28" s="1"/>
  <c r="H92" i="28" s="1"/>
  <c r="I92" i="28" s="1"/>
  <c r="J92" i="28" s="1"/>
  <c r="K92" i="28" s="1"/>
  <c r="L92" i="28" s="1"/>
  <c r="M92" i="28" s="1"/>
  <c r="N92" i="28" s="1"/>
  <c r="O92" i="28" s="1"/>
  <c r="P92" i="28" s="1"/>
  <c r="Q92" i="28" s="1"/>
  <c r="C85" i="28"/>
  <c r="D85" i="28" s="1"/>
  <c r="E85" i="28" s="1"/>
  <c r="F85" i="28" s="1"/>
  <c r="G85" i="28" s="1"/>
  <c r="H85" i="28" s="1"/>
  <c r="I85" i="28" s="1"/>
  <c r="J85" i="28" s="1"/>
  <c r="K85" i="28" s="1"/>
  <c r="L85" i="28" s="1"/>
  <c r="M85" i="28" s="1"/>
  <c r="N85" i="28" s="1"/>
  <c r="O85" i="28" s="1"/>
  <c r="P85" i="28" s="1"/>
  <c r="Q85" i="28" s="1"/>
  <c r="Z15" i="19"/>
  <c r="W103" i="23"/>
  <c r="V137" i="23"/>
  <c r="AI253" i="17"/>
  <c r="BE12" i="17"/>
  <c r="BD253" i="17"/>
  <c r="BF8" i="19"/>
  <c r="BF12" i="19" s="1"/>
  <c r="AK8" i="19"/>
  <c r="AK12" i="19" s="1"/>
  <c r="BE15" i="19"/>
  <c r="Y8" i="19"/>
  <c r="Y12" i="19" s="1"/>
  <c r="BI10" i="19"/>
  <c r="BJ52" i="14"/>
  <c r="BI9" i="19"/>
  <c r="BJ51" i="14"/>
  <c r="Z50" i="14"/>
  <c r="Y8" i="17"/>
  <c r="X253" i="17" s="1"/>
  <c r="AA228" i="14"/>
  <c r="W145" i="24"/>
  <c r="X145" i="24" s="1"/>
  <c r="Y145" i="24" s="1"/>
  <c r="Z145" i="24" s="1"/>
  <c r="AA145" i="24" s="1"/>
  <c r="AB145" i="24" s="1"/>
  <c r="AC145" i="24" s="1"/>
  <c r="AD145" i="24" s="1"/>
  <c r="AE145" i="24" s="1"/>
  <c r="AF145" i="24" s="1"/>
  <c r="AG145" i="24" s="1"/>
  <c r="AH145" i="24" s="1"/>
  <c r="AI145" i="24" s="1"/>
  <c r="AJ145" i="24" s="1"/>
  <c r="AK145" i="24" s="1"/>
  <c r="AL145" i="24" s="1"/>
  <c r="AM145" i="24" s="1"/>
  <c r="AN145" i="24" s="1"/>
  <c r="AO145" i="24" s="1"/>
  <c r="AP145" i="24" s="1"/>
  <c r="AQ145" i="24" s="1"/>
  <c r="AR145" i="24" s="1"/>
  <c r="AS145" i="24" s="1"/>
  <c r="AT145" i="24" s="1"/>
  <c r="AU145" i="24" s="1"/>
  <c r="AV145" i="24" s="1"/>
  <c r="AW145" i="24" s="1"/>
  <c r="AX145" i="24" s="1"/>
  <c r="AY145" i="24" s="1"/>
  <c r="AZ145" i="24" s="1"/>
  <c r="BA145" i="24" s="1"/>
  <c r="W128" i="24"/>
  <c r="X128" i="24" s="1"/>
  <c r="Y128" i="24" s="1"/>
  <c r="Z128" i="24" s="1"/>
  <c r="AA128" i="24" s="1"/>
  <c r="AB128" i="24" s="1"/>
  <c r="AC128" i="24" s="1"/>
  <c r="AD128" i="24" s="1"/>
  <c r="AE128" i="24" s="1"/>
  <c r="AF128" i="24" s="1"/>
  <c r="AG128" i="24" s="1"/>
  <c r="AH128" i="24" s="1"/>
  <c r="AI128" i="24" s="1"/>
  <c r="AJ128" i="24" s="1"/>
  <c r="AK128" i="24" s="1"/>
  <c r="AL128" i="24" s="1"/>
  <c r="AM128" i="24" s="1"/>
  <c r="AN128" i="24" s="1"/>
  <c r="AO128" i="24" s="1"/>
  <c r="AP128" i="24" s="1"/>
  <c r="AQ128" i="24" s="1"/>
  <c r="AR128" i="24" s="1"/>
  <c r="AS128" i="24" s="1"/>
  <c r="AT128" i="24" s="1"/>
  <c r="AU128" i="24" s="1"/>
  <c r="AV128" i="24" s="1"/>
  <c r="AW128" i="24" s="1"/>
  <c r="AX128" i="24" s="1"/>
  <c r="AY128" i="24" s="1"/>
  <c r="AZ128" i="24" s="1"/>
  <c r="BA128" i="24" s="1"/>
  <c r="W148" i="24"/>
  <c r="X148" i="24" s="1"/>
  <c r="Y148" i="24" s="1"/>
  <c r="Z148" i="24" s="1"/>
  <c r="AA148" i="24" s="1"/>
  <c r="AB148" i="24" s="1"/>
  <c r="AC148" i="24" s="1"/>
  <c r="AD148" i="24" s="1"/>
  <c r="AE148" i="24" s="1"/>
  <c r="AF148" i="24" s="1"/>
  <c r="AG148" i="24" s="1"/>
  <c r="AH148" i="24" s="1"/>
  <c r="AI148" i="24" s="1"/>
  <c r="AJ148" i="24" s="1"/>
  <c r="AK148" i="24" s="1"/>
  <c r="AL148" i="24" s="1"/>
  <c r="AM148" i="24" s="1"/>
  <c r="AN148" i="24" s="1"/>
  <c r="AO148" i="24" s="1"/>
  <c r="AP148" i="24" s="1"/>
  <c r="AQ148" i="24" s="1"/>
  <c r="AR148" i="24" s="1"/>
  <c r="AS148" i="24" s="1"/>
  <c r="AT148" i="24" s="1"/>
  <c r="AU148" i="24" s="1"/>
  <c r="AV148" i="24" s="1"/>
  <c r="AW148" i="24" s="1"/>
  <c r="AX148" i="24" s="1"/>
  <c r="AY148" i="24" s="1"/>
  <c r="AZ148" i="24" s="1"/>
  <c r="BA148" i="24" s="1"/>
  <c r="W170" i="24"/>
  <c r="X170" i="24" s="1"/>
  <c r="Y170" i="24" s="1"/>
  <c r="Z170" i="24" s="1"/>
  <c r="AA170" i="24" s="1"/>
  <c r="AB170" i="24" s="1"/>
  <c r="AC170" i="24" s="1"/>
  <c r="AD170" i="24" s="1"/>
  <c r="AE170" i="24" s="1"/>
  <c r="AF170" i="24" s="1"/>
  <c r="AG170" i="24" s="1"/>
  <c r="AH170" i="24" s="1"/>
  <c r="AI170" i="24" s="1"/>
  <c r="AJ170" i="24" s="1"/>
  <c r="AK170" i="24" s="1"/>
  <c r="AL170" i="24" s="1"/>
  <c r="AM170" i="24" s="1"/>
  <c r="AN170" i="24" s="1"/>
  <c r="AO170" i="24" s="1"/>
  <c r="AP170" i="24" s="1"/>
  <c r="AQ170" i="24" s="1"/>
  <c r="AR170" i="24" s="1"/>
  <c r="AS170" i="24" s="1"/>
  <c r="AT170" i="24" s="1"/>
  <c r="AU170" i="24" s="1"/>
  <c r="AV170" i="24" s="1"/>
  <c r="AW170" i="24" s="1"/>
  <c r="AX170" i="24" s="1"/>
  <c r="AY170" i="24" s="1"/>
  <c r="AZ170" i="24" s="1"/>
  <c r="BA170" i="24" s="1"/>
  <c r="W132" i="24"/>
  <c r="X132" i="24" s="1"/>
  <c r="Y132" i="24" s="1"/>
  <c r="Z132" i="24" s="1"/>
  <c r="AA132" i="24" s="1"/>
  <c r="AB132" i="24" s="1"/>
  <c r="AC132" i="24" s="1"/>
  <c r="AD132" i="24" s="1"/>
  <c r="AE132" i="24" s="1"/>
  <c r="AF132" i="24" s="1"/>
  <c r="AG132" i="24" s="1"/>
  <c r="AH132" i="24" s="1"/>
  <c r="AI132" i="24" s="1"/>
  <c r="AJ132" i="24" s="1"/>
  <c r="AK132" i="24" s="1"/>
  <c r="AL132" i="24" s="1"/>
  <c r="AM132" i="24" s="1"/>
  <c r="AN132" i="24" s="1"/>
  <c r="AO132" i="24" s="1"/>
  <c r="AP132" i="24" s="1"/>
  <c r="AQ132" i="24" s="1"/>
  <c r="AR132" i="24" s="1"/>
  <c r="AS132" i="24" s="1"/>
  <c r="AT132" i="24" s="1"/>
  <c r="AU132" i="24" s="1"/>
  <c r="AV132" i="24" s="1"/>
  <c r="AW132" i="24" s="1"/>
  <c r="AX132" i="24" s="1"/>
  <c r="AY132" i="24" s="1"/>
  <c r="AZ132" i="24" s="1"/>
  <c r="BA132" i="24" s="1"/>
  <c r="W158" i="24"/>
  <c r="X158" i="24" s="1"/>
  <c r="Y158" i="24" s="1"/>
  <c r="Z158" i="24" s="1"/>
  <c r="AA158" i="24" s="1"/>
  <c r="AB158" i="24" s="1"/>
  <c r="AC158" i="24" s="1"/>
  <c r="AD158" i="24" s="1"/>
  <c r="AE158" i="24" s="1"/>
  <c r="AF158" i="24" s="1"/>
  <c r="AG158" i="24" s="1"/>
  <c r="AH158" i="24" s="1"/>
  <c r="AI158" i="24" s="1"/>
  <c r="AJ158" i="24" s="1"/>
  <c r="AK158" i="24" s="1"/>
  <c r="AL158" i="24" s="1"/>
  <c r="AM158" i="24" s="1"/>
  <c r="AN158" i="24" s="1"/>
  <c r="AO158" i="24" s="1"/>
  <c r="AP158" i="24" s="1"/>
  <c r="AQ158" i="24" s="1"/>
  <c r="AR158" i="24" s="1"/>
  <c r="AS158" i="24" s="1"/>
  <c r="AT158" i="24" s="1"/>
  <c r="AU158" i="24" s="1"/>
  <c r="AV158" i="24" s="1"/>
  <c r="AW158" i="24" s="1"/>
  <c r="AX158" i="24" s="1"/>
  <c r="AY158" i="24" s="1"/>
  <c r="AZ158" i="24" s="1"/>
  <c r="BA158" i="24" s="1"/>
  <c r="W151" i="24"/>
  <c r="X151" i="24" s="1"/>
  <c r="Y151" i="24" s="1"/>
  <c r="Z151" i="24" s="1"/>
  <c r="AA151" i="24" s="1"/>
  <c r="AB151" i="24" s="1"/>
  <c r="AC151" i="24" s="1"/>
  <c r="AD151" i="24" s="1"/>
  <c r="AE151" i="24" s="1"/>
  <c r="AF151" i="24" s="1"/>
  <c r="AG151" i="24" s="1"/>
  <c r="AH151" i="24" s="1"/>
  <c r="AI151" i="24" s="1"/>
  <c r="AJ151" i="24" s="1"/>
  <c r="AK151" i="24" s="1"/>
  <c r="AL151" i="24" s="1"/>
  <c r="AM151" i="24" s="1"/>
  <c r="AN151" i="24" s="1"/>
  <c r="AO151" i="24" s="1"/>
  <c r="AP151" i="24" s="1"/>
  <c r="AQ151" i="24" s="1"/>
  <c r="AR151" i="24" s="1"/>
  <c r="AS151" i="24" s="1"/>
  <c r="AT151" i="24" s="1"/>
  <c r="AU151" i="24" s="1"/>
  <c r="AV151" i="24" s="1"/>
  <c r="AW151" i="24" s="1"/>
  <c r="AX151" i="24" s="1"/>
  <c r="AY151" i="24" s="1"/>
  <c r="AZ151" i="24" s="1"/>
  <c r="BA151" i="24" s="1"/>
  <c r="W183" i="24"/>
  <c r="X183" i="24" s="1"/>
  <c r="Y183" i="24" s="1"/>
  <c r="Z183" i="24" s="1"/>
  <c r="AA183" i="24" s="1"/>
  <c r="AB183" i="24" s="1"/>
  <c r="AC183" i="24" s="1"/>
  <c r="AD183" i="24" s="1"/>
  <c r="AE183" i="24" s="1"/>
  <c r="AF183" i="24" s="1"/>
  <c r="AG183" i="24" s="1"/>
  <c r="AH183" i="24" s="1"/>
  <c r="AI183" i="24" s="1"/>
  <c r="AJ183" i="24" s="1"/>
  <c r="AK183" i="24" s="1"/>
  <c r="AL183" i="24" s="1"/>
  <c r="AM183" i="24" s="1"/>
  <c r="AN183" i="24" s="1"/>
  <c r="AO183" i="24" s="1"/>
  <c r="AP183" i="24" s="1"/>
  <c r="AQ183" i="24" s="1"/>
  <c r="AR183" i="24" s="1"/>
  <c r="AS183" i="24" s="1"/>
  <c r="AT183" i="24" s="1"/>
  <c r="AU183" i="24" s="1"/>
  <c r="AV183" i="24" s="1"/>
  <c r="AW183" i="24" s="1"/>
  <c r="AX183" i="24" s="1"/>
  <c r="AY183" i="24" s="1"/>
  <c r="AZ183" i="24" s="1"/>
  <c r="BA183" i="24" s="1"/>
  <c r="W122" i="24"/>
  <c r="X122" i="24" s="1"/>
  <c r="Y122" i="24" s="1"/>
  <c r="Z122" i="24" s="1"/>
  <c r="AA122" i="24" s="1"/>
  <c r="AB122" i="24" s="1"/>
  <c r="AC122" i="24" s="1"/>
  <c r="AD122" i="24" s="1"/>
  <c r="AE122" i="24" s="1"/>
  <c r="AF122" i="24" s="1"/>
  <c r="AG122" i="24" s="1"/>
  <c r="AH122" i="24" s="1"/>
  <c r="AI122" i="24" s="1"/>
  <c r="AJ122" i="24" s="1"/>
  <c r="AK122" i="24" s="1"/>
  <c r="AL122" i="24" s="1"/>
  <c r="AM122" i="24" s="1"/>
  <c r="AN122" i="24" s="1"/>
  <c r="AO122" i="24" s="1"/>
  <c r="AP122" i="24" s="1"/>
  <c r="AQ122" i="24" s="1"/>
  <c r="AR122" i="24" s="1"/>
  <c r="AS122" i="24" s="1"/>
  <c r="AT122" i="24" s="1"/>
  <c r="AU122" i="24" s="1"/>
  <c r="AV122" i="24" s="1"/>
  <c r="AW122" i="24" s="1"/>
  <c r="AX122" i="24" s="1"/>
  <c r="AY122" i="24" s="1"/>
  <c r="AZ122" i="24" s="1"/>
  <c r="BA122" i="24" s="1"/>
  <c r="W119" i="24"/>
  <c r="X119" i="24" s="1"/>
  <c r="Y119" i="24" s="1"/>
  <c r="Z119" i="24" s="1"/>
  <c r="AA119" i="24" s="1"/>
  <c r="AB119" i="24" s="1"/>
  <c r="AC119" i="24" s="1"/>
  <c r="AD119" i="24" s="1"/>
  <c r="AE119" i="24" s="1"/>
  <c r="AF119" i="24" s="1"/>
  <c r="AG119" i="24" s="1"/>
  <c r="AH119" i="24" s="1"/>
  <c r="AI119" i="24" s="1"/>
  <c r="AJ119" i="24" s="1"/>
  <c r="AK119" i="24" s="1"/>
  <c r="AL119" i="24" s="1"/>
  <c r="AM119" i="24" s="1"/>
  <c r="AN119" i="24" s="1"/>
  <c r="AO119" i="24" s="1"/>
  <c r="AP119" i="24" s="1"/>
  <c r="AQ119" i="24" s="1"/>
  <c r="AR119" i="24" s="1"/>
  <c r="AS119" i="24" s="1"/>
  <c r="AT119" i="24" s="1"/>
  <c r="AU119" i="24" s="1"/>
  <c r="AV119" i="24" s="1"/>
  <c r="AW119" i="24" s="1"/>
  <c r="AX119" i="24" s="1"/>
  <c r="AY119" i="24" s="1"/>
  <c r="AZ119" i="24" s="1"/>
  <c r="BA119" i="24" s="1"/>
  <c r="W154" i="24"/>
  <c r="X154" i="24" s="1"/>
  <c r="Y154" i="24" s="1"/>
  <c r="Z154" i="24" s="1"/>
  <c r="AA154" i="24" s="1"/>
  <c r="AB154" i="24" s="1"/>
  <c r="AC154" i="24" s="1"/>
  <c r="AD154" i="24" s="1"/>
  <c r="AE154" i="24" s="1"/>
  <c r="AF154" i="24" s="1"/>
  <c r="AG154" i="24" s="1"/>
  <c r="AH154" i="24" s="1"/>
  <c r="AI154" i="24" s="1"/>
  <c r="AJ154" i="24" s="1"/>
  <c r="AK154" i="24" s="1"/>
  <c r="AL154" i="24" s="1"/>
  <c r="AM154" i="24" s="1"/>
  <c r="AN154" i="24" s="1"/>
  <c r="AO154" i="24" s="1"/>
  <c r="AP154" i="24" s="1"/>
  <c r="AQ154" i="24" s="1"/>
  <c r="AR154" i="24" s="1"/>
  <c r="AS154" i="24" s="1"/>
  <c r="AT154" i="24" s="1"/>
  <c r="AU154" i="24" s="1"/>
  <c r="AV154" i="24" s="1"/>
  <c r="AW154" i="24" s="1"/>
  <c r="AX154" i="24" s="1"/>
  <c r="AY154" i="24" s="1"/>
  <c r="AZ154" i="24" s="1"/>
  <c r="BA154" i="24" s="1"/>
  <c r="W135" i="24"/>
  <c r="X135" i="24" s="1"/>
  <c r="Y135" i="24" s="1"/>
  <c r="Z135" i="24" s="1"/>
  <c r="AA135" i="24" s="1"/>
  <c r="AB135" i="24" s="1"/>
  <c r="AC135" i="24" s="1"/>
  <c r="AD135" i="24" s="1"/>
  <c r="AE135" i="24" s="1"/>
  <c r="AF135" i="24" s="1"/>
  <c r="AG135" i="24" s="1"/>
  <c r="AH135" i="24" s="1"/>
  <c r="AI135" i="24" s="1"/>
  <c r="AJ135" i="24" s="1"/>
  <c r="AK135" i="24" s="1"/>
  <c r="AL135" i="24" s="1"/>
  <c r="AM135" i="24" s="1"/>
  <c r="AN135" i="24" s="1"/>
  <c r="AO135" i="24" s="1"/>
  <c r="AP135" i="24" s="1"/>
  <c r="AQ135" i="24" s="1"/>
  <c r="AR135" i="24" s="1"/>
  <c r="AS135" i="24" s="1"/>
  <c r="AT135" i="24" s="1"/>
  <c r="AU135" i="24" s="1"/>
  <c r="AV135" i="24" s="1"/>
  <c r="AW135" i="24" s="1"/>
  <c r="AX135" i="24" s="1"/>
  <c r="AY135" i="24" s="1"/>
  <c r="AZ135" i="24" s="1"/>
  <c r="BA135" i="24" s="1"/>
  <c r="W179" i="24"/>
  <c r="X179" i="24" s="1"/>
  <c r="Y179" i="24" s="1"/>
  <c r="Z179" i="24" s="1"/>
  <c r="AA179" i="24" s="1"/>
  <c r="AB179" i="24" s="1"/>
  <c r="AC179" i="24" s="1"/>
  <c r="AD179" i="24" s="1"/>
  <c r="AE179" i="24" s="1"/>
  <c r="AF179" i="24" s="1"/>
  <c r="AG179" i="24" s="1"/>
  <c r="AH179" i="24" s="1"/>
  <c r="AI179" i="24" s="1"/>
  <c r="AJ179" i="24" s="1"/>
  <c r="AK179" i="24" s="1"/>
  <c r="AL179" i="24" s="1"/>
  <c r="AM179" i="24" s="1"/>
  <c r="AN179" i="24" s="1"/>
  <c r="AO179" i="24" s="1"/>
  <c r="AP179" i="24" s="1"/>
  <c r="AQ179" i="24" s="1"/>
  <c r="AR179" i="24" s="1"/>
  <c r="AS179" i="24" s="1"/>
  <c r="AT179" i="24" s="1"/>
  <c r="AU179" i="24" s="1"/>
  <c r="AV179" i="24" s="1"/>
  <c r="AW179" i="24" s="1"/>
  <c r="AX179" i="24" s="1"/>
  <c r="AY179" i="24" s="1"/>
  <c r="AZ179" i="24" s="1"/>
  <c r="BA179" i="24" s="1"/>
  <c r="W116" i="24"/>
  <c r="X116" i="24" s="1"/>
  <c r="Y116" i="24" s="1"/>
  <c r="Z116" i="24" s="1"/>
  <c r="AA116" i="24" s="1"/>
  <c r="AB116" i="24" s="1"/>
  <c r="AC116" i="24" s="1"/>
  <c r="AD116" i="24" s="1"/>
  <c r="AE116" i="24" s="1"/>
  <c r="AF116" i="24" s="1"/>
  <c r="AG116" i="24" s="1"/>
  <c r="AH116" i="24" s="1"/>
  <c r="AI116" i="24" s="1"/>
  <c r="AJ116" i="24" s="1"/>
  <c r="AK116" i="24" s="1"/>
  <c r="AL116" i="24" s="1"/>
  <c r="AM116" i="24" s="1"/>
  <c r="AN116" i="24" s="1"/>
  <c r="AO116" i="24" s="1"/>
  <c r="AP116" i="24" s="1"/>
  <c r="AQ116" i="24" s="1"/>
  <c r="AR116" i="24" s="1"/>
  <c r="AS116" i="24" s="1"/>
  <c r="AT116" i="24" s="1"/>
  <c r="AU116" i="24" s="1"/>
  <c r="AV116" i="24" s="1"/>
  <c r="AW116" i="24" s="1"/>
  <c r="AX116" i="24" s="1"/>
  <c r="AY116" i="24" s="1"/>
  <c r="AZ116" i="24" s="1"/>
  <c r="BA116" i="24" s="1"/>
  <c r="W176" i="24"/>
  <c r="X176" i="24" s="1"/>
  <c r="Y176" i="24" s="1"/>
  <c r="Z176" i="24" s="1"/>
  <c r="AA176" i="24" s="1"/>
  <c r="AB176" i="24" s="1"/>
  <c r="AC176" i="24" s="1"/>
  <c r="AD176" i="24" s="1"/>
  <c r="AE176" i="24" s="1"/>
  <c r="AF176" i="24" s="1"/>
  <c r="AG176" i="24" s="1"/>
  <c r="AH176" i="24" s="1"/>
  <c r="AI176" i="24" s="1"/>
  <c r="AJ176" i="24" s="1"/>
  <c r="AK176" i="24" s="1"/>
  <c r="AL176" i="24" s="1"/>
  <c r="AM176" i="24" s="1"/>
  <c r="AN176" i="24" s="1"/>
  <c r="AO176" i="24" s="1"/>
  <c r="AP176" i="24" s="1"/>
  <c r="AQ176" i="24" s="1"/>
  <c r="AR176" i="24" s="1"/>
  <c r="AS176" i="24" s="1"/>
  <c r="AT176" i="24" s="1"/>
  <c r="AU176" i="24" s="1"/>
  <c r="AV176" i="24" s="1"/>
  <c r="AW176" i="24" s="1"/>
  <c r="AX176" i="24" s="1"/>
  <c r="AY176" i="24" s="1"/>
  <c r="AZ176" i="24" s="1"/>
  <c r="BA176" i="24" s="1"/>
  <c r="W142" i="24"/>
  <c r="X142" i="24" s="1"/>
  <c r="Y142" i="24" s="1"/>
  <c r="Z142" i="24" s="1"/>
  <c r="AA142" i="24" s="1"/>
  <c r="AB142" i="24" s="1"/>
  <c r="AC142" i="24" s="1"/>
  <c r="AD142" i="24" s="1"/>
  <c r="AE142" i="24" s="1"/>
  <c r="AF142" i="24" s="1"/>
  <c r="AG142" i="24" s="1"/>
  <c r="AH142" i="24" s="1"/>
  <c r="AI142" i="24" s="1"/>
  <c r="AJ142" i="24" s="1"/>
  <c r="AK142" i="24" s="1"/>
  <c r="AL142" i="24" s="1"/>
  <c r="AM142" i="24" s="1"/>
  <c r="AN142" i="24" s="1"/>
  <c r="AO142" i="24" s="1"/>
  <c r="AP142" i="24" s="1"/>
  <c r="AQ142" i="24" s="1"/>
  <c r="AR142" i="24" s="1"/>
  <c r="AS142" i="24" s="1"/>
  <c r="AT142" i="24" s="1"/>
  <c r="AU142" i="24" s="1"/>
  <c r="AV142" i="24" s="1"/>
  <c r="AW142" i="24" s="1"/>
  <c r="AX142" i="24" s="1"/>
  <c r="AY142" i="24" s="1"/>
  <c r="AZ142" i="24" s="1"/>
  <c r="BA142" i="24" s="1"/>
  <c r="W186" i="24"/>
  <c r="X186" i="24" s="1"/>
  <c r="Y186" i="24" s="1"/>
  <c r="Z186" i="24" s="1"/>
  <c r="AA186" i="24" s="1"/>
  <c r="AB186" i="24" s="1"/>
  <c r="AC186" i="24" s="1"/>
  <c r="AD186" i="24" s="1"/>
  <c r="AE186" i="24" s="1"/>
  <c r="AF186" i="24" s="1"/>
  <c r="AG186" i="24" s="1"/>
  <c r="AH186" i="24" s="1"/>
  <c r="AI186" i="24" s="1"/>
  <c r="AJ186" i="24" s="1"/>
  <c r="AK186" i="24" s="1"/>
  <c r="AL186" i="24" s="1"/>
  <c r="AM186" i="24" s="1"/>
  <c r="AN186" i="24" s="1"/>
  <c r="AO186" i="24" s="1"/>
  <c r="AP186" i="24" s="1"/>
  <c r="AQ186" i="24" s="1"/>
  <c r="AR186" i="24" s="1"/>
  <c r="AS186" i="24" s="1"/>
  <c r="AT186" i="24" s="1"/>
  <c r="AU186" i="24" s="1"/>
  <c r="AV186" i="24" s="1"/>
  <c r="AW186" i="24" s="1"/>
  <c r="AX186" i="24" s="1"/>
  <c r="AY186" i="24" s="1"/>
  <c r="AZ186" i="24" s="1"/>
  <c r="BA186" i="24" s="1"/>
  <c r="W167" i="24"/>
  <c r="X167" i="24" s="1"/>
  <c r="Y167" i="24" s="1"/>
  <c r="Z167" i="24" s="1"/>
  <c r="AA167" i="24" s="1"/>
  <c r="AB167" i="24" s="1"/>
  <c r="AC167" i="24" s="1"/>
  <c r="AD167" i="24" s="1"/>
  <c r="AE167" i="24" s="1"/>
  <c r="AF167" i="24" s="1"/>
  <c r="AG167" i="24" s="1"/>
  <c r="AH167" i="24" s="1"/>
  <c r="AI167" i="24" s="1"/>
  <c r="AJ167" i="24" s="1"/>
  <c r="AK167" i="24" s="1"/>
  <c r="AL167" i="24" s="1"/>
  <c r="AM167" i="24" s="1"/>
  <c r="AN167" i="24" s="1"/>
  <c r="AO167" i="24" s="1"/>
  <c r="AP167" i="24" s="1"/>
  <c r="AQ167" i="24" s="1"/>
  <c r="AR167" i="24" s="1"/>
  <c r="AS167" i="24" s="1"/>
  <c r="AT167" i="24" s="1"/>
  <c r="AU167" i="24" s="1"/>
  <c r="AV167" i="24" s="1"/>
  <c r="AW167" i="24" s="1"/>
  <c r="AX167" i="24" s="1"/>
  <c r="AY167" i="24" s="1"/>
  <c r="AZ167" i="24" s="1"/>
  <c r="BA167" i="24" s="1"/>
  <c r="W161" i="24"/>
  <c r="X161" i="24" s="1"/>
  <c r="Y161" i="24" s="1"/>
  <c r="Z161" i="24" s="1"/>
  <c r="AA161" i="24" s="1"/>
  <c r="AB161" i="24" s="1"/>
  <c r="AC161" i="24" s="1"/>
  <c r="AD161" i="24" s="1"/>
  <c r="AE161" i="24" s="1"/>
  <c r="AF161" i="24" s="1"/>
  <c r="AG161" i="24" s="1"/>
  <c r="AH161" i="24" s="1"/>
  <c r="AI161" i="24" s="1"/>
  <c r="AJ161" i="24" s="1"/>
  <c r="AK161" i="24" s="1"/>
  <c r="AL161" i="24" s="1"/>
  <c r="AM161" i="24" s="1"/>
  <c r="AN161" i="24" s="1"/>
  <c r="AO161" i="24" s="1"/>
  <c r="AP161" i="24" s="1"/>
  <c r="AQ161" i="24" s="1"/>
  <c r="AR161" i="24" s="1"/>
  <c r="AS161" i="24" s="1"/>
  <c r="AT161" i="24" s="1"/>
  <c r="AU161" i="24" s="1"/>
  <c r="AV161" i="24" s="1"/>
  <c r="AW161" i="24" s="1"/>
  <c r="AX161" i="24" s="1"/>
  <c r="AY161" i="24" s="1"/>
  <c r="AZ161" i="24" s="1"/>
  <c r="BA161" i="24" s="1"/>
  <c r="W125" i="24"/>
  <c r="X125" i="24" s="1"/>
  <c r="Y125" i="24" s="1"/>
  <c r="Z125" i="24" s="1"/>
  <c r="AA125" i="24" s="1"/>
  <c r="AB125" i="24" s="1"/>
  <c r="AC125" i="24" s="1"/>
  <c r="AD125" i="24" s="1"/>
  <c r="AE125" i="24" s="1"/>
  <c r="AF125" i="24" s="1"/>
  <c r="AG125" i="24" s="1"/>
  <c r="AH125" i="24" s="1"/>
  <c r="AI125" i="24" s="1"/>
  <c r="AJ125" i="24" s="1"/>
  <c r="AK125" i="24" s="1"/>
  <c r="AL125" i="24" s="1"/>
  <c r="AM125" i="24" s="1"/>
  <c r="AN125" i="24" s="1"/>
  <c r="AO125" i="24" s="1"/>
  <c r="AP125" i="24" s="1"/>
  <c r="AQ125" i="24" s="1"/>
  <c r="AR125" i="24" s="1"/>
  <c r="AS125" i="24" s="1"/>
  <c r="AT125" i="24" s="1"/>
  <c r="AU125" i="24" s="1"/>
  <c r="AV125" i="24" s="1"/>
  <c r="AW125" i="24" s="1"/>
  <c r="AX125" i="24" s="1"/>
  <c r="AY125" i="24" s="1"/>
  <c r="AZ125" i="24" s="1"/>
  <c r="BA125" i="24" s="1"/>
  <c r="W173" i="24"/>
  <c r="X173" i="24" s="1"/>
  <c r="Y173" i="24" s="1"/>
  <c r="Z173" i="24" s="1"/>
  <c r="AA173" i="24" s="1"/>
  <c r="AB173" i="24" s="1"/>
  <c r="AC173" i="24" s="1"/>
  <c r="AD173" i="24" s="1"/>
  <c r="AE173" i="24" s="1"/>
  <c r="AF173" i="24" s="1"/>
  <c r="AG173" i="24" s="1"/>
  <c r="AH173" i="24" s="1"/>
  <c r="AI173" i="24" s="1"/>
  <c r="AJ173" i="24" s="1"/>
  <c r="AK173" i="24" s="1"/>
  <c r="AL173" i="24" s="1"/>
  <c r="AM173" i="24" s="1"/>
  <c r="AN173" i="24" s="1"/>
  <c r="AO173" i="24" s="1"/>
  <c r="AP173" i="24" s="1"/>
  <c r="AQ173" i="24" s="1"/>
  <c r="AR173" i="24" s="1"/>
  <c r="AS173" i="24" s="1"/>
  <c r="AT173" i="24" s="1"/>
  <c r="AU173" i="24" s="1"/>
  <c r="AV173" i="24" s="1"/>
  <c r="AW173" i="24" s="1"/>
  <c r="AX173" i="24" s="1"/>
  <c r="AY173" i="24" s="1"/>
  <c r="AZ173" i="24" s="1"/>
  <c r="BA173" i="24" s="1"/>
  <c r="BE15" i="17"/>
  <c r="BD254" i="17" s="1"/>
  <c r="AZ23" i="30"/>
  <c r="BA55" i="16"/>
  <c r="AZ21" i="30"/>
  <c r="Y9" i="17"/>
  <c r="Z51" i="14"/>
  <c r="Z9" i="19" s="1"/>
  <c r="BA228" i="24"/>
  <c r="AZ60" i="31"/>
  <c r="AZ56" i="31"/>
  <c r="AZ58" i="31"/>
  <c r="AZ67" i="31"/>
  <c r="AZ59" i="31"/>
  <c r="AZ69" i="31"/>
  <c r="AZ55" i="31"/>
  <c r="AZ57" i="31"/>
  <c r="BA104" i="23"/>
  <c r="BA46" i="31"/>
  <c r="BA13" i="30"/>
  <c r="BA22" i="30" s="1"/>
  <c r="BA227" i="24"/>
  <c r="BA224" i="24"/>
  <c r="AZ68" i="31"/>
  <c r="BA225" i="24"/>
  <c r="BA226" i="24"/>
  <c r="BF8" i="17"/>
  <c r="BG50" i="14"/>
  <c r="X12" i="17"/>
  <c r="BF57" i="14"/>
  <c r="BE59" i="14"/>
  <c r="U175" i="24"/>
  <c r="T177" i="24"/>
  <c r="T171" i="24"/>
  <c r="U169" i="24"/>
  <c r="U166" i="24"/>
  <c r="T168" i="24"/>
  <c r="U182" i="24"/>
  <c r="T184" i="24"/>
  <c r="T146" i="24"/>
  <c r="U144" i="24"/>
  <c r="BA44" i="22"/>
  <c r="U127" i="24"/>
  <c r="T129" i="24"/>
  <c r="BA45" i="22"/>
  <c r="U115" i="24"/>
  <c r="T117" i="24"/>
  <c r="BA41" i="22"/>
  <c r="BC26" i="8"/>
  <c r="U124" i="24"/>
  <c r="T126" i="24"/>
  <c r="U185" i="24"/>
  <c r="T187" i="24"/>
  <c r="BA43" i="22"/>
  <c r="BA58" i="16"/>
  <c r="BA59" i="16"/>
  <c r="BA53" i="16"/>
  <c r="BA56" i="16"/>
  <c r="U147" i="24"/>
  <c r="T149" i="24"/>
  <c r="BA42" i="22"/>
  <c r="BA61" i="16"/>
  <c r="T174" i="24"/>
  <c r="U172" i="24"/>
  <c r="U118" i="24"/>
  <c r="T120" i="24"/>
  <c r="U134" i="24"/>
  <c r="T136" i="24"/>
  <c r="U157" i="24"/>
  <c r="T159" i="24"/>
  <c r="BA54" i="16"/>
  <c r="U121" i="24"/>
  <c r="T123" i="24"/>
  <c r="U150" i="24"/>
  <c r="T152" i="24"/>
  <c r="BB56" i="8"/>
  <c r="BB61" i="8"/>
  <c r="BA57" i="16"/>
  <c r="T162" i="24"/>
  <c r="U160" i="24"/>
  <c r="T143" i="24"/>
  <c r="U141" i="24"/>
  <c r="T133" i="24"/>
  <c r="U131" i="24"/>
  <c r="W102" i="23"/>
  <c r="W123" i="23" s="1"/>
  <c r="W136" i="23" s="1"/>
  <c r="T155" i="24"/>
  <c r="U153" i="24"/>
  <c r="U178" i="24"/>
  <c r="T180" i="24"/>
  <c r="AJ12" i="17"/>
  <c r="AK10" i="17"/>
  <c r="AK9" i="17"/>
  <c r="AK59" i="14"/>
  <c r="AB10" i="17"/>
  <c r="AK8" i="17"/>
  <c r="AK11" i="17"/>
  <c r="AA11" i="17"/>
  <c r="BF16" i="17"/>
  <c r="BI10" i="17"/>
  <c r="BI9" i="17"/>
  <c r="BF54" i="14"/>
  <c r="BF11" i="17"/>
  <c r="AM58" i="14"/>
  <c r="AM16" i="19" s="1"/>
  <c r="AL16" i="17"/>
  <c r="AA57" i="14"/>
  <c r="Z15" i="17"/>
  <c r="Y254" i="17" s="1"/>
  <c r="Z59" i="14"/>
  <c r="AL57" i="14"/>
  <c r="AL15" i="19" s="1"/>
  <c r="AK15" i="17"/>
  <c r="AJ254" i="17" s="1"/>
  <c r="AB58" i="14"/>
  <c r="AB16" i="19" s="1"/>
  <c r="AA16" i="17"/>
  <c r="AK54" i="14"/>
  <c r="AL52" i="14"/>
  <c r="AL10" i="19" s="1"/>
  <c r="AC52" i="14"/>
  <c r="AC10" i="19" s="1"/>
  <c r="AL51" i="14"/>
  <c r="AL9" i="19" s="1"/>
  <c r="AL50" i="14"/>
  <c r="BG53" i="14"/>
  <c r="BG11" i="19" s="1"/>
  <c r="AL53" i="14"/>
  <c r="AL11" i="19" s="1"/>
  <c r="AB53" i="14"/>
  <c r="AB11" i="19" s="1"/>
  <c r="AB215" i="14"/>
  <c r="BG58" i="14"/>
  <c r="BG16" i="19" s="1"/>
  <c r="BC8" i="13"/>
  <c r="AQ8" i="13"/>
  <c r="AU8" i="13"/>
  <c r="T8" i="13"/>
  <c r="U8" i="13"/>
  <c r="AM8" i="13"/>
  <c r="Z110" i="23" l="1"/>
  <c r="Y147" i="23"/>
  <c r="Y124" i="23"/>
  <c r="Z109" i="23"/>
  <c r="Y146" i="23"/>
  <c r="Z107" i="23"/>
  <c r="Y144" i="23"/>
  <c r="Z108" i="23"/>
  <c r="Y145" i="23"/>
  <c r="AB289" i="14"/>
  <c r="AB287" i="14"/>
  <c r="AB288" i="14"/>
  <c r="BB233" i="24"/>
  <c r="BB236" i="24"/>
  <c r="BB235" i="24"/>
  <c r="BB234" i="24"/>
  <c r="BB237" i="24"/>
  <c r="W136" i="19"/>
  <c r="W137" i="19"/>
  <c r="W135" i="19"/>
  <c r="X96" i="19"/>
  <c r="X58" i="26"/>
  <c r="X88" i="26" s="1"/>
  <c r="Q54" i="28"/>
  <c r="AW91" i="17"/>
  <c r="T149" i="19"/>
  <c r="U149" i="19"/>
  <c r="BB60" i="16"/>
  <c r="Z321" i="14"/>
  <c r="Z320" i="14"/>
  <c r="Z322" i="14"/>
  <c r="Z325" i="14"/>
  <c r="Z331" i="14"/>
  <c r="Z323" i="14"/>
  <c r="Z327" i="14"/>
  <c r="Z329" i="14"/>
  <c r="Z328" i="14"/>
  <c r="Z319" i="14"/>
  <c r="Z318" i="14"/>
  <c r="Z324" i="14"/>
  <c r="Z330" i="14"/>
  <c r="Z326" i="14"/>
  <c r="BB167" i="24"/>
  <c r="BB183" i="24"/>
  <c r="BB179" i="24"/>
  <c r="BB132" i="24"/>
  <c r="BB145" i="24"/>
  <c r="L54" i="28"/>
  <c r="O54" i="28"/>
  <c r="F54" i="28"/>
  <c r="V150" i="19"/>
  <c r="I54" i="28"/>
  <c r="V149" i="19"/>
  <c r="G54" i="28"/>
  <c r="N54" i="28"/>
  <c r="D54" i="28"/>
  <c r="B54" i="28"/>
  <c r="E54" i="28"/>
  <c r="C54" i="28"/>
  <c r="M54" i="28"/>
  <c r="P54" i="28"/>
  <c r="J54" i="28"/>
  <c r="H54" i="28"/>
  <c r="K54" i="28"/>
  <c r="AA15" i="19"/>
  <c r="X103" i="23"/>
  <c r="W137" i="23"/>
  <c r="AJ253" i="17"/>
  <c r="BF15" i="19"/>
  <c r="BG8" i="19"/>
  <c r="BG12" i="19" s="1"/>
  <c r="BF12" i="17"/>
  <c r="BE253" i="17"/>
  <c r="AL8" i="19"/>
  <c r="AL12" i="19" s="1"/>
  <c r="AA50" i="14"/>
  <c r="Z8" i="17"/>
  <c r="Y253" i="17" s="1"/>
  <c r="Z8" i="19"/>
  <c r="AB228" i="14"/>
  <c r="BJ9" i="19"/>
  <c r="BJ9" i="17"/>
  <c r="BJ10" i="19"/>
  <c r="BJ10" i="17"/>
  <c r="Z54" i="14"/>
  <c r="Z9" i="17"/>
  <c r="Y12" i="17"/>
  <c r="AA51" i="14"/>
  <c r="AA9" i="19" s="1"/>
  <c r="BF15" i="17"/>
  <c r="BE254" i="17" s="1"/>
  <c r="BA23" i="30"/>
  <c r="BA21" i="30"/>
  <c r="BB224" i="24"/>
  <c r="BH50" i="14"/>
  <c r="BF59" i="14"/>
  <c r="BG8" i="17"/>
  <c r="BA69" i="31"/>
  <c r="BA56" i="31"/>
  <c r="BA59" i="31"/>
  <c r="BA60" i="31"/>
  <c r="BA68" i="31"/>
  <c r="BB225" i="24"/>
  <c r="BB227" i="24"/>
  <c r="BB46" i="31"/>
  <c r="BB13" i="30"/>
  <c r="BB22" i="30" s="1"/>
  <c r="BB226" i="24"/>
  <c r="BA57" i="31"/>
  <c r="BA67" i="31"/>
  <c r="BB228" i="24"/>
  <c r="BB128" i="24"/>
  <c r="BB57" i="16"/>
  <c r="BB151" i="24"/>
  <c r="BB142" i="24"/>
  <c r="BA55" i="31"/>
  <c r="BA58" i="31"/>
  <c r="BG57" i="14"/>
  <c r="V131" i="24"/>
  <c r="U133" i="24"/>
  <c r="U152" i="24"/>
  <c r="V150" i="24"/>
  <c r="BB135" i="24"/>
  <c r="BB161" i="24"/>
  <c r="V147" i="24"/>
  <c r="U149" i="24"/>
  <c r="BB59" i="16"/>
  <c r="BB148" i="24"/>
  <c r="BB41" i="22"/>
  <c r="BB122" i="24"/>
  <c r="U129" i="24"/>
  <c r="V127" i="24"/>
  <c r="BB173" i="24"/>
  <c r="V178" i="24"/>
  <c r="U180" i="24"/>
  <c r="V121" i="24"/>
  <c r="U123" i="24"/>
  <c r="U120" i="24"/>
  <c r="V118" i="24"/>
  <c r="BB61" i="16"/>
  <c r="BB56" i="16"/>
  <c r="BB58" i="16"/>
  <c r="V185" i="24"/>
  <c r="U187" i="24"/>
  <c r="BB45" i="22"/>
  <c r="BB44" i="22"/>
  <c r="BB104" i="23"/>
  <c r="V166" i="24"/>
  <c r="U168" i="24"/>
  <c r="V153" i="24"/>
  <c r="U155" i="24"/>
  <c r="X102" i="23"/>
  <c r="X123" i="23" s="1"/>
  <c r="X136" i="23" s="1"/>
  <c r="BB119" i="24"/>
  <c r="BB55" i="16"/>
  <c r="U159" i="24"/>
  <c r="V157" i="24"/>
  <c r="V134" i="24"/>
  <c r="U136" i="24"/>
  <c r="BB42" i="22"/>
  <c r="BB43" i="22"/>
  <c r="BB125" i="24"/>
  <c r="U126" i="24"/>
  <c r="V124" i="24"/>
  <c r="BD26" i="8"/>
  <c r="V115" i="24"/>
  <c r="U117" i="24"/>
  <c r="BB116" i="24"/>
  <c r="BB186" i="24"/>
  <c r="U171" i="24"/>
  <c r="V169" i="24"/>
  <c r="V175" i="24"/>
  <c r="U177" i="24"/>
  <c r="U143" i="24"/>
  <c r="V141" i="24"/>
  <c r="U162" i="24"/>
  <c r="V160" i="24"/>
  <c r="BB54" i="16"/>
  <c r="BB158" i="24"/>
  <c r="V172" i="24"/>
  <c r="U174" i="24"/>
  <c r="BB53" i="16"/>
  <c r="BB176" i="24"/>
  <c r="BB170" i="24"/>
  <c r="BC61" i="8"/>
  <c r="BC233" i="24" s="1"/>
  <c r="BC56" i="8"/>
  <c r="BB154" i="24"/>
  <c r="U146" i="24"/>
  <c r="V144" i="24"/>
  <c r="U184" i="24"/>
  <c r="V182" i="24"/>
  <c r="AK12" i="17"/>
  <c r="AL9" i="17"/>
  <c r="AA59" i="14"/>
  <c r="AL11" i="17"/>
  <c r="AL59" i="14"/>
  <c r="BG11" i="17"/>
  <c r="AC10" i="17"/>
  <c r="BG16" i="17"/>
  <c r="AB11" i="17"/>
  <c r="AL8" i="17"/>
  <c r="AL10" i="17"/>
  <c r="AC58" i="14"/>
  <c r="AC16" i="19" s="1"/>
  <c r="AB16" i="17"/>
  <c r="AN58" i="14"/>
  <c r="AN16" i="19" s="1"/>
  <c r="AM16" i="17"/>
  <c r="AL54" i="14"/>
  <c r="AM57" i="14"/>
  <c r="AM15" i="19" s="1"/>
  <c r="AL15" i="17"/>
  <c r="AK254" i="17" s="1"/>
  <c r="AB57" i="14"/>
  <c r="AA15" i="17"/>
  <c r="Z254" i="17" s="1"/>
  <c r="BH53" i="14"/>
  <c r="BH11" i="19" s="1"/>
  <c r="AD52" i="14"/>
  <c r="AD10" i="19" s="1"/>
  <c r="BG54" i="14"/>
  <c r="AC53" i="14"/>
  <c r="AC11" i="19" s="1"/>
  <c r="AM53" i="14"/>
  <c r="AM11" i="19" s="1"/>
  <c r="AM50" i="14"/>
  <c r="AM51" i="14"/>
  <c r="AM9" i="19" s="1"/>
  <c r="AM52" i="14"/>
  <c r="AM10" i="19" s="1"/>
  <c r="AC215" i="14"/>
  <c r="BH58" i="14"/>
  <c r="BH16" i="19" s="1"/>
  <c r="BD8" i="13"/>
  <c r="AV8" i="13"/>
  <c r="Y8" i="13"/>
  <c r="Z8" i="13"/>
  <c r="AR8" i="13"/>
  <c r="AE8" i="13"/>
  <c r="AD8" i="13"/>
  <c r="AJ8" i="13"/>
  <c r="AI8" i="13"/>
  <c r="AA109" i="23" l="1"/>
  <c r="Z146" i="23"/>
  <c r="AA107" i="23"/>
  <c r="Z144" i="23"/>
  <c r="AA108" i="23"/>
  <c r="Z145" i="23"/>
  <c r="AA110" i="23"/>
  <c r="Z124" i="23"/>
  <c r="Z147" i="23"/>
  <c r="AC289" i="14"/>
  <c r="AC287" i="14"/>
  <c r="AC288" i="14"/>
  <c r="W149" i="19"/>
  <c r="BC234" i="24"/>
  <c r="BC235" i="24"/>
  <c r="BC236" i="24"/>
  <c r="BC237" i="24"/>
  <c r="Z63" i="8"/>
  <c r="Y96" i="19"/>
  <c r="Y58" i="26"/>
  <c r="Y88" i="26" s="1"/>
  <c r="X136" i="19"/>
  <c r="X137" i="19"/>
  <c r="X135" i="19"/>
  <c r="BC60" i="16"/>
  <c r="AX91" i="17"/>
  <c r="AA324" i="14"/>
  <c r="AA322" i="14"/>
  <c r="AA320" i="14"/>
  <c r="AA329" i="14"/>
  <c r="AA330" i="14"/>
  <c r="AA327" i="14"/>
  <c r="AA326" i="14"/>
  <c r="AA319" i="14"/>
  <c r="AA331" i="14"/>
  <c r="AA323" i="14"/>
  <c r="AA325" i="14"/>
  <c r="AA328" i="14"/>
  <c r="AA321" i="14"/>
  <c r="AA318" i="14"/>
  <c r="AA8" i="17"/>
  <c r="Z253" i="17" s="1"/>
  <c r="W150" i="19"/>
  <c r="AB15" i="19"/>
  <c r="Y103" i="23"/>
  <c r="X137" i="23"/>
  <c r="AA9" i="17"/>
  <c r="Z12" i="17"/>
  <c r="AM8" i="19"/>
  <c r="AM12" i="19" s="1"/>
  <c r="BH8" i="19"/>
  <c r="BH12" i="19" s="1"/>
  <c r="AA8" i="19"/>
  <c r="AA12" i="19" s="1"/>
  <c r="AK253" i="17"/>
  <c r="BG15" i="19"/>
  <c r="BG12" i="17"/>
  <c r="BF253" i="17"/>
  <c r="AA54" i="14"/>
  <c r="AB50" i="14"/>
  <c r="Z12" i="19"/>
  <c r="AC228" i="14"/>
  <c r="BI50" i="14"/>
  <c r="BI8" i="17" s="1"/>
  <c r="AB59" i="14"/>
  <c r="AB51" i="14"/>
  <c r="AB9" i="19" s="1"/>
  <c r="BG15" i="17"/>
  <c r="BF254" i="17" s="1"/>
  <c r="BH57" i="14"/>
  <c r="BG59" i="14"/>
  <c r="BH8" i="17"/>
  <c r="BB21" i="30"/>
  <c r="BB23" i="30"/>
  <c r="BB60" i="31"/>
  <c r="BB57" i="31"/>
  <c r="BC46" i="31"/>
  <c r="BC13" i="30"/>
  <c r="BC22" i="30" s="1"/>
  <c r="BB58" i="31"/>
  <c r="BB69" i="31"/>
  <c r="BB68" i="31"/>
  <c r="BB56" i="31"/>
  <c r="BC227" i="24"/>
  <c r="BB55" i="31"/>
  <c r="BC228" i="24"/>
  <c r="BC226" i="24"/>
  <c r="BC224" i="24"/>
  <c r="BC225" i="24"/>
  <c r="BB59" i="31"/>
  <c r="BB67" i="31"/>
  <c r="V184" i="24"/>
  <c r="W182" i="24"/>
  <c r="BC154" i="24"/>
  <c r="BC176" i="24"/>
  <c r="V174" i="24"/>
  <c r="W172" i="24"/>
  <c r="W115" i="24"/>
  <c r="V117" i="24"/>
  <c r="BC42" i="22"/>
  <c r="W157" i="24"/>
  <c r="V159" i="24"/>
  <c r="BC183" i="24"/>
  <c r="Y102" i="23"/>
  <c r="Y123" i="23" s="1"/>
  <c r="Y136" i="23" s="1"/>
  <c r="BC45" i="22"/>
  <c r="BC58" i="16"/>
  <c r="BC151" i="24"/>
  <c r="BC148" i="24"/>
  <c r="BC161" i="24"/>
  <c r="W160" i="24"/>
  <c r="V162" i="24"/>
  <c r="BC186" i="24"/>
  <c r="BE26" i="8"/>
  <c r="BC125" i="24"/>
  <c r="BC179" i="24"/>
  <c r="V168" i="24"/>
  <c r="W166" i="24"/>
  <c r="BC56" i="16"/>
  <c r="BC57" i="16"/>
  <c r="W178" i="24"/>
  <c r="V180" i="24"/>
  <c r="BC122" i="24"/>
  <c r="BC59" i="16"/>
  <c r="BC135" i="24"/>
  <c r="V133" i="24"/>
  <c r="W131" i="24"/>
  <c r="W144" i="24"/>
  <c r="V146" i="24"/>
  <c r="BC53" i="16"/>
  <c r="BC158" i="24"/>
  <c r="V177" i="24"/>
  <c r="W175" i="24"/>
  <c r="BC116" i="24"/>
  <c r="BD56" i="8"/>
  <c r="BD61" i="8"/>
  <c r="BC43" i="22"/>
  <c r="BC55" i="16"/>
  <c r="BC132" i="24"/>
  <c r="BC104" i="23"/>
  <c r="BC61" i="16"/>
  <c r="V123" i="24"/>
  <c r="W121" i="24"/>
  <c r="BC128" i="24"/>
  <c r="BC173" i="24"/>
  <c r="BC41" i="22"/>
  <c r="V152" i="24"/>
  <c r="W150" i="24"/>
  <c r="BC167" i="24"/>
  <c r="BC170" i="24"/>
  <c r="BC54" i="16"/>
  <c r="W141" i="24"/>
  <c r="V143" i="24"/>
  <c r="V171" i="24"/>
  <c r="W169" i="24"/>
  <c r="V126" i="24"/>
  <c r="W124" i="24"/>
  <c r="W134" i="24"/>
  <c r="V136" i="24"/>
  <c r="BC119" i="24"/>
  <c r="W153" i="24"/>
  <c r="V155" i="24"/>
  <c r="BC44" i="22"/>
  <c r="W185" i="24"/>
  <c r="V187" i="24"/>
  <c r="W118" i="24"/>
  <c r="V120" i="24"/>
  <c r="BC142" i="24"/>
  <c r="BC145" i="24"/>
  <c r="W127" i="24"/>
  <c r="V129" i="24"/>
  <c r="V149" i="24"/>
  <c r="W147" i="24"/>
  <c r="AL12" i="17"/>
  <c r="AM8" i="17"/>
  <c r="AM9" i="17"/>
  <c r="BH16" i="17"/>
  <c r="AM11" i="17"/>
  <c r="AM59" i="14"/>
  <c r="AD10" i="17"/>
  <c r="AM10" i="17"/>
  <c r="AC11" i="17"/>
  <c r="AN57" i="14"/>
  <c r="AN15" i="19" s="1"/>
  <c r="AM15" i="17"/>
  <c r="AL254" i="17" s="1"/>
  <c r="AC57" i="14"/>
  <c r="AB15" i="17"/>
  <c r="AA254" i="17" s="1"/>
  <c r="AD58" i="14"/>
  <c r="AD16" i="19" s="1"/>
  <c r="AC16" i="17"/>
  <c r="AO58" i="14"/>
  <c r="AO16" i="19" s="1"/>
  <c r="AN16" i="17"/>
  <c r="BH54" i="14"/>
  <c r="BH11" i="17"/>
  <c r="AN53" i="14"/>
  <c r="AN11" i="19" s="1"/>
  <c r="BI53" i="14"/>
  <c r="AN51" i="14"/>
  <c r="AN9" i="19" s="1"/>
  <c r="AN52" i="14"/>
  <c r="AN10" i="19" s="1"/>
  <c r="AN50" i="14"/>
  <c r="AD53" i="14"/>
  <c r="AD11" i="19" s="1"/>
  <c r="AM54" i="14"/>
  <c r="AD215" i="14"/>
  <c r="BI58" i="14"/>
  <c r="BE8" i="13"/>
  <c r="AO8" i="13"/>
  <c r="AN8" i="13"/>
  <c r="AW8" i="13"/>
  <c r="AB110" i="23" l="1"/>
  <c r="AA147" i="23"/>
  <c r="AA124" i="23"/>
  <c r="AB107" i="23"/>
  <c r="AA144" i="23"/>
  <c r="AB108" i="23"/>
  <c r="AA145" i="23"/>
  <c r="AB109" i="23"/>
  <c r="AA146" i="23"/>
  <c r="AD287" i="14"/>
  <c r="AD289" i="14"/>
  <c r="AD288" i="14"/>
  <c r="BD236" i="24"/>
  <c r="BD235" i="24"/>
  <c r="BD60" i="16"/>
  <c r="BD234" i="24"/>
  <c r="X149" i="19"/>
  <c r="BD237" i="24"/>
  <c r="BD233" i="24"/>
  <c r="Y137" i="19"/>
  <c r="Y136" i="19"/>
  <c r="Y135" i="19"/>
  <c r="AA63" i="8"/>
  <c r="Z58" i="26"/>
  <c r="Z88" i="26" s="1"/>
  <c r="Z96" i="19"/>
  <c r="AY91" i="17"/>
  <c r="AA12" i="17"/>
  <c r="AB323" i="14"/>
  <c r="AB329" i="14"/>
  <c r="AB328" i="14"/>
  <c r="AB330" i="14"/>
  <c r="AB321" i="14"/>
  <c r="AB318" i="14"/>
  <c r="AB327" i="14"/>
  <c r="AB324" i="14"/>
  <c r="AB331" i="14"/>
  <c r="AB326" i="14"/>
  <c r="AB320" i="14"/>
  <c r="AB325" i="14"/>
  <c r="AB322" i="14"/>
  <c r="AB319" i="14"/>
  <c r="AB54" i="14"/>
  <c r="AD329" i="14"/>
  <c r="AD325" i="14"/>
  <c r="AD321" i="14"/>
  <c r="AD328" i="14"/>
  <c r="AD324" i="14"/>
  <c r="AD320" i="14"/>
  <c r="AD331" i="14"/>
  <c r="AD327" i="14"/>
  <c r="AD326" i="14"/>
  <c r="AD323" i="14"/>
  <c r="AD319" i="14"/>
  <c r="AD330" i="14"/>
  <c r="AD322" i="14"/>
  <c r="AD318" i="14"/>
  <c r="AC50" i="14"/>
  <c r="AC54" i="14" s="1"/>
  <c r="AB8" i="17"/>
  <c r="AA253" i="17" s="1"/>
  <c r="BC59" i="31"/>
  <c r="BC68" i="31"/>
  <c r="BC67" i="31"/>
  <c r="BC56" i="31"/>
  <c r="BD128" i="24"/>
  <c r="BD104" i="23"/>
  <c r="X150" i="19"/>
  <c r="AC15" i="19"/>
  <c r="Z103" i="23"/>
  <c r="Y137" i="23"/>
  <c r="AN8" i="19"/>
  <c r="AN12" i="19" s="1"/>
  <c r="BI12" i="17"/>
  <c r="AL253" i="17"/>
  <c r="BH15" i="19"/>
  <c r="BH12" i="17"/>
  <c r="BG253" i="17"/>
  <c r="AB9" i="17"/>
  <c r="AB8" i="19"/>
  <c r="AB12" i="19" s="1"/>
  <c r="BI8" i="19"/>
  <c r="BJ50" i="14"/>
  <c r="BI16" i="19"/>
  <c r="BJ58" i="14"/>
  <c r="AD228" i="14"/>
  <c r="BI11" i="19"/>
  <c r="BJ53" i="14"/>
  <c r="AC51" i="14"/>
  <c r="AC9" i="19" s="1"/>
  <c r="BI57" i="14"/>
  <c r="BI59" i="14" s="1"/>
  <c r="BH59" i="14"/>
  <c r="BH15" i="17"/>
  <c r="BG254" i="17" s="1"/>
  <c r="BD145" i="24"/>
  <c r="BD54" i="16"/>
  <c r="BD132" i="24"/>
  <c r="BD142" i="24"/>
  <c r="BD228" i="24"/>
  <c r="BC60" i="31"/>
  <c r="BC21" i="30"/>
  <c r="BC55" i="31"/>
  <c r="BD46" i="31"/>
  <c r="BD13" i="30"/>
  <c r="BD22" i="30" s="1"/>
  <c r="BD170" i="24"/>
  <c r="BD41" i="22"/>
  <c r="BD55" i="16"/>
  <c r="BD225" i="24"/>
  <c r="BD44" i="22"/>
  <c r="BD119" i="24"/>
  <c r="BC23" i="30"/>
  <c r="BD224" i="24"/>
  <c r="BC57" i="31"/>
  <c r="BC69" i="31"/>
  <c r="BD226" i="24"/>
  <c r="BD227" i="24"/>
  <c r="BC58" i="31"/>
  <c r="X147" i="24"/>
  <c r="W149" i="24"/>
  <c r="W129" i="24"/>
  <c r="X127" i="24"/>
  <c r="X118" i="24"/>
  <c r="W120" i="24"/>
  <c r="X141" i="24"/>
  <c r="W143" i="24"/>
  <c r="W152" i="24"/>
  <c r="X150" i="24"/>
  <c r="X144" i="24"/>
  <c r="W146" i="24"/>
  <c r="BD59" i="16"/>
  <c r="BD57" i="16"/>
  <c r="BF26" i="8"/>
  <c r="X160" i="24"/>
  <c r="W162" i="24"/>
  <c r="BD148" i="24"/>
  <c r="Z102" i="23"/>
  <c r="Z123" i="23" s="1"/>
  <c r="Z136" i="23" s="1"/>
  <c r="W159" i="24"/>
  <c r="X157" i="24"/>
  <c r="BD154" i="24"/>
  <c r="W155" i="24"/>
  <c r="X153" i="24"/>
  <c r="W136" i="24"/>
  <c r="X134" i="24"/>
  <c r="W171" i="24"/>
  <c r="X169" i="24"/>
  <c r="X121" i="24"/>
  <c r="W123" i="24"/>
  <c r="BD158" i="24"/>
  <c r="X131" i="24"/>
  <c r="W133" i="24"/>
  <c r="BD122" i="24"/>
  <c r="BD56" i="16"/>
  <c r="BD179" i="24"/>
  <c r="BE56" i="8"/>
  <c r="BE61" i="8"/>
  <c r="BD151" i="24"/>
  <c r="BD42" i="22"/>
  <c r="X172" i="24"/>
  <c r="W174" i="24"/>
  <c r="X182" i="24"/>
  <c r="W184" i="24"/>
  <c r="X185" i="24"/>
  <c r="W187" i="24"/>
  <c r="BD116" i="24"/>
  <c r="BD53" i="16"/>
  <c r="BD186" i="24"/>
  <c r="BD58" i="16"/>
  <c r="BD183" i="24"/>
  <c r="X124" i="24"/>
  <c r="W126" i="24"/>
  <c r="BD167" i="24"/>
  <c r="BD173" i="24"/>
  <c r="BD61" i="16"/>
  <c r="BD43" i="22"/>
  <c r="W177" i="24"/>
  <c r="X175" i="24"/>
  <c r="BD135" i="24"/>
  <c r="W180" i="24"/>
  <c r="X178" i="24"/>
  <c r="X166" i="24"/>
  <c r="W168" i="24"/>
  <c r="BD125" i="24"/>
  <c r="BD161" i="24"/>
  <c r="BD45" i="22"/>
  <c r="W117" i="24"/>
  <c r="X115" i="24"/>
  <c r="BD176" i="24"/>
  <c r="AN59" i="14"/>
  <c r="AM12" i="17"/>
  <c r="AD11" i="17"/>
  <c r="BI11" i="17"/>
  <c r="BH253" i="17" s="1"/>
  <c r="AD16" i="17"/>
  <c r="AN11" i="17"/>
  <c r="BI16" i="17"/>
  <c r="AN9" i="17"/>
  <c r="BI54" i="14"/>
  <c r="AN10" i="17"/>
  <c r="AD57" i="14"/>
  <c r="AC15" i="17"/>
  <c r="AB254" i="17" s="1"/>
  <c r="AP58" i="14"/>
  <c r="AP16" i="19" s="1"/>
  <c r="AO16" i="17"/>
  <c r="AC59" i="14"/>
  <c r="AN54" i="14"/>
  <c r="AN8" i="17"/>
  <c r="AO57" i="14"/>
  <c r="AO15" i="19" s="1"/>
  <c r="AN15" i="17"/>
  <c r="AM254" i="17" s="1"/>
  <c r="AO52" i="14"/>
  <c r="AO10" i="19" s="1"/>
  <c r="AO50" i="14"/>
  <c r="AO51" i="14"/>
  <c r="AO9" i="19" s="1"/>
  <c r="AO53" i="14"/>
  <c r="AO11" i="19" s="1"/>
  <c r="AE215" i="14"/>
  <c r="AS8" i="13"/>
  <c r="AT8" i="13"/>
  <c r="BF8" i="13"/>
  <c r="BE125" i="24" l="1"/>
  <c r="BE186" i="24"/>
  <c r="BE60" i="16"/>
  <c r="AC109" i="23"/>
  <c r="AB146" i="23"/>
  <c r="AC107" i="23"/>
  <c r="AB144" i="23"/>
  <c r="AC108" i="23"/>
  <c r="AB145" i="23"/>
  <c r="AC110" i="23"/>
  <c r="AB147" i="23"/>
  <c r="AB124" i="23"/>
  <c r="AE287" i="14"/>
  <c r="AE288" i="14"/>
  <c r="AE289" i="14"/>
  <c r="Y149" i="19"/>
  <c r="BE234" i="24"/>
  <c r="BE237" i="24"/>
  <c r="BE235" i="24"/>
  <c r="BE233" i="24"/>
  <c r="BE176" i="24"/>
  <c r="BE161" i="24"/>
  <c r="BE167" i="24"/>
  <c r="BE116" i="24"/>
  <c r="BE151" i="24"/>
  <c r="BE236" i="24"/>
  <c r="AB63" i="8"/>
  <c r="AA96" i="19"/>
  <c r="AA58" i="26"/>
  <c r="AA88" i="26" s="1"/>
  <c r="Z136" i="19"/>
  <c r="Z137" i="19"/>
  <c r="Z135" i="19"/>
  <c r="AZ91" i="17"/>
  <c r="AC322" i="14"/>
  <c r="AC328" i="14"/>
  <c r="AC327" i="14"/>
  <c r="AC329" i="14"/>
  <c r="AC318" i="14"/>
  <c r="AC323" i="14"/>
  <c r="AC321" i="14"/>
  <c r="AC319" i="14"/>
  <c r="AC330" i="14"/>
  <c r="AC325" i="14"/>
  <c r="AC324" i="14"/>
  <c r="AC320" i="14"/>
  <c r="AC326" i="14"/>
  <c r="AC331" i="14"/>
  <c r="AE328" i="14"/>
  <c r="AE324" i="14"/>
  <c r="AE331" i="14"/>
  <c r="AE327" i="14"/>
  <c r="AE323" i="14"/>
  <c r="AE326" i="14"/>
  <c r="AE330" i="14"/>
  <c r="AE322" i="14"/>
  <c r="AE325" i="14"/>
  <c r="AE319" i="14"/>
  <c r="AE320" i="14"/>
  <c r="AE318" i="14"/>
  <c r="AE329" i="14"/>
  <c r="AE321" i="14"/>
  <c r="AC8" i="19"/>
  <c r="AC12" i="19" s="1"/>
  <c r="AC8" i="17"/>
  <c r="AB253" i="17" s="1"/>
  <c r="AD50" i="14"/>
  <c r="AD8" i="19" s="1"/>
  <c r="BE44" i="22"/>
  <c r="BE179" i="24"/>
  <c r="Y150" i="19"/>
  <c r="AC9" i="17"/>
  <c r="AD51" i="14"/>
  <c r="AD9" i="19" s="1"/>
  <c r="AD15" i="19"/>
  <c r="AA103" i="23"/>
  <c r="Z137" i="23"/>
  <c r="AB12" i="17"/>
  <c r="AO8" i="19"/>
  <c r="AO12" i="19" s="1"/>
  <c r="AM253" i="17"/>
  <c r="BI12" i="19"/>
  <c r="BJ11" i="19"/>
  <c r="BJ11" i="17"/>
  <c r="BJ16" i="19"/>
  <c r="BJ16" i="17"/>
  <c r="BI15" i="19"/>
  <c r="BJ57" i="14"/>
  <c r="AE228" i="14"/>
  <c r="BI15" i="17"/>
  <c r="BH254" i="17" s="1"/>
  <c r="BJ54" i="14"/>
  <c r="BJ8" i="19"/>
  <c r="BJ8" i="17"/>
  <c r="BD60" i="31"/>
  <c r="BD59" i="31"/>
  <c r="BE225" i="24"/>
  <c r="BE45" i="22"/>
  <c r="BE173" i="24"/>
  <c r="BE183" i="24"/>
  <c r="BE119" i="24"/>
  <c r="BE55" i="16"/>
  <c r="BE43" i="22"/>
  <c r="BE53" i="16"/>
  <c r="BE142" i="24"/>
  <c r="BE56" i="16"/>
  <c r="BE226" i="24"/>
  <c r="BE224" i="24"/>
  <c r="BE170" i="24"/>
  <c r="BD55" i="31"/>
  <c r="BD57" i="31"/>
  <c r="BD67" i="31"/>
  <c r="BD23" i="30"/>
  <c r="BE228" i="24"/>
  <c r="BE135" i="24"/>
  <c r="BE61" i="16"/>
  <c r="BE58" i="16"/>
  <c r="BE41" i="22"/>
  <c r="BE42" i="22"/>
  <c r="BE46" i="31"/>
  <c r="BE13" i="30"/>
  <c r="BE22" i="30" s="1"/>
  <c r="BD58" i="31"/>
  <c r="BD69" i="31"/>
  <c r="BD68" i="31"/>
  <c r="BD56" i="31"/>
  <c r="BE227" i="24"/>
  <c r="BD21" i="30"/>
  <c r="AO59" i="14"/>
  <c r="Y178" i="24"/>
  <c r="X180" i="24"/>
  <c r="BE158" i="24"/>
  <c r="BE54" i="16"/>
  <c r="BE154" i="24"/>
  <c r="AA102" i="23"/>
  <c r="AA123" i="23" s="1"/>
  <c r="AA136" i="23" s="1"/>
  <c r="X162" i="24"/>
  <c r="Y160" i="24"/>
  <c r="BE59" i="16"/>
  <c r="BE128" i="24"/>
  <c r="Y141" i="24"/>
  <c r="X143" i="24"/>
  <c r="Y115" i="24"/>
  <c r="X117" i="24"/>
  <c r="Y172" i="24"/>
  <c r="X174" i="24"/>
  <c r="BE122" i="24"/>
  <c r="BE132" i="24"/>
  <c r="Y169" i="24"/>
  <c r="X171" i="24"/>
  <c r="Y153" i="24"/>
  <c r="X155" i="24"/>
  <c r="BG26" i="8"/>
  <c r="Y150" i="24"/>
  <c r="X152" i="24"/>
  <c r="Y124" i="24"/>
  <c r="X126" i="24"/>
  <c r="X159" i="24"/>
  <c r="Y157" i="24"/>
  <c r="BE148" i="24"/>
  <c r="BF56" i="8"/>
  <c r="BF61" i="8"/>
  <c r="Y144" i="24"/>
  <c r="X146" i="24"/>
  <c r="X120" i="24"/>
  <c r="Y118" i="24"/>
  <c r="Y147" i="24"/>
  <c r="X149" i="24"/>
  <c r="X168" i="24"/>
  <c r="Y166" i="24"/>
  <c r="X177" i="24"/>
  <c r="Y175" i="24"/>
  <c r="Y185" i="24"/>
  <c r="X187" i="24"/>
  <c r="X184" i="24"/>
  <c r="Y182" i="24"/>
  <c r="X133" i="24"/>
  <c r="Y131" i="24"/>
  <c r="X123" i="24"/>
  <c r="Y121" i="24"/>
  <c r="X136" i="24"/>
  <c r="Y134" i="24"/>
  <c r="BE145" i="24"/>
  <c r="BE57" i="16"/>
  <c r="BE104" i="23"/>
  <c r="X129" i="24"/>
  <c r="Y127" i="24"/>
  <c r="AO8" i="17"/>
  <c r="AO11" i="17"/>
  <c r="AO10" i="17"/>
  <c r="AN12" i="17"/>
  <c r="AO9" i="17"/>
  <c r="AQ58" i="14"/>
  <c r="AQ16" i="19" s="1"/>
  <c r="AP16" i="17"/>
  <c r="AP57" i="14"/>
  <c r="AP15" i="19" s="1"/>
  <c r="AO15" i="17"/>
  <c r="AN254" i="17" s="1"/>
  <c r="AD15" i="17"/>
  <c r="AC254" i="17" s="1"/>
  <c r="AD59" i="14"/>
  <c r="AP53" i="14"/>
  <c r="AP11" i="19" s="1"/>
  <c r="AP50" i="14"/>
  <c r="AP51" i="14"/>
  <c r="AP9" i="19" s="1"/>
  <c r="AP52" i="14"/>
  <c r="AP10" i="19" s="1"/>
  <c r="AO54" i="14"/>
  <c r="AF215" i="14"/>
  <c r="BG8" i="13"/>
  <c r="AY8" i="13"/>
  <c r="AX8" i="13"/>
  <c r="BF60" i="16" l="1"/>
  <c r="AD110" i="23"/>
  <c r="AC147" i="23"/>
  <c r="AC124" i="23"/>
  <c r="AD107" i="23"/>
  <c r="AC144" i="23"/>
  <c r="AD108" i="23"/>
  <c r="AC145" i="23"/>
  <c r="AD109" i="23"/>
  <c r="AC146" i="23"/>
  <c r="AF287" i="14"/>
  <c r="AF289" i="14"/>
  <c r="AF288" i="14"/>
  <c r="BF233" i="24"/>
  <c r="BF235" i="24"/>
  <c r="Z149" i="19"/>
  <c r="BF236" i="24"/>
  <c r="BF237" i="24"/>
  <c r="BF234" i="24"/>
  <c r="AA136" i="19"/>
  <c r="AA137" i="19"/>
  <c r="AA135" i="19"/>
  <c r="AC63" i="8"/>
  <c r="AB58" i="26"/>
  <c r="AB88" i="26" s="1"/>
  <c r="AB96" i="19"/>
  <c r="BA91" i="17"/>
  <c r="AD8" i="17"/>
  <c r="AC253" i="17" s="1"/>
  <c r="AF331" i="14"/>
  <c r="AF327" i="14"/>
  <c r="AF323" i="14"/>
  <c r="AF330" i="14"/>
  <c r="AF326" i="14"/>
  <c r="AF322" i="14"/>
  <c r="AF325" i="14"/>
  <c r="AF319" i="14"/>
  <c r="AF324" i="14"/>
  <c r="AF320" i="14"/>
  <c r="AF318" i="14"/>
  <c r="AF329" i="14"/>
  <c r="AF321" i="14"/>
  <c r="AF328" i="14"/>
  <c r="AD54" i="14"/>
  <c r="AD9" i="17"/>
  <c r="AC12" i="17"/>
  <c r="AD12" i="19"/>
  <c r="BF151" i="24"/>
  <c r="BF173" i="24"/>
  <c r="Z150" i="19"/>
  <c r="BF145" i="24"/>
  <c r="AB103" i="23"/>
  <c r="AA137" i="23"/>
  <c r="AN253" i="17"/>
  <c r="BJ12" i="17"/>
  <c r="BI253" i="17"/>
  <c r="AP8" i="19"/>
  <c r="AP12" i="19" s="1"/>
  <c r="BJ12" i="19"/>
  <c r="BJ15" i="19"/>
  <c r="BJ15" i="17"/>
  <c r="BI254" i="17" s="1"/>
  <c r="BJ59" i="14"/>
  <c r="AF228" i="14"/>
  <c r="BE59" i="31"/>
  <c r="BE68" i="31"/>
  <c r="BE21" i="30"/>
  <c r="BE55" i="31"/>
  <c r="BE67" i="31"/>
  <c r="BF170" i="24"/>
  <c r="BF46" i="31"/>
  <c r="BF13" i="30"/>
  <c r="BF22" i="30" s="1"/>
  <c r="BE57" i="31"/>
  <c r="BE69" i="31"/>
  <c r="BF228" i="24"/>
  <c r="BF226" i="24"/>
  <c r="BF225" i="24"/>
  <c r="BF45" i="22"/>
  <c r="BF104" i="23"/>
  <c r="BF53" i="16"/>
  <c r="BF227" i="24"/>
  <c r="BE58" i="31"/>
  <c r="BE23" i="30"/>
  <c r="BE60" i="31"/>
  <c r="BF57" i="16"/>
  <c r="BF179" i="24"/>
  <c r="BF119" i="24"/>
  <c r="BE56" i="31"/>
  <c r="BF224" i="24"/>
  <c r="Z127" i="24"/>
  <c r="Y129" i="24"/>
  <c r="Z185" i="24"/>
  <c r="Y187" i="24"/>
  <c r="Y168" i="24"/>
  <c r="Z166" i="24"/>
  <c r="Y149" i="24"/>
  <c r="Z147" i="24"/>
  <c r="Y146" i="24"/>
  <c r="Z144" i="24"/>
  <c r="Z157" i="24"/>
  <c r="Y159" i="24"/>
  <c r="BF61" i="16"/>
  <c r="BH26" i="8"/>
  <c r="BI26" i="8"/>
  <c r="Y155" i="24"/>
  <c r="Z153" i="24"/>
  <c r="BF122" i="24"/>
  <c r="BF43" i="22"/>
  <c r="Y162" i="24"/>
  <c r="Z160" i="24"/>
  <c r="BF154" i="24"/>
  <c r="BF186" i="24"/>
  <c r="Y180" i="24"/>
  <c r="Z178" i="24"/>
  <c r="Y136" i="24"/>
  <c r="Z134" i="24"/>
  <c r="Z131" i="24"/>
  <c r="Y133" i="24"/>
  <c r="Y184" i="24"/>
  <c r="Z182" i="24"/>
  <c r="Y120" i="24"/>
  <c r="Z118" i="24"/>
  <c r="BF58" i="16"/>
  <c r="BF135" i="24"/>
  <c r="BG61" i="8"/>
  <c r="BG60" i="16" s="1"/>
  <c r="BG56" i="8"/>
  <c r="BF55" i="16"/>
  <c r="BF125" i="24"/>
  <c r="Z141" i="24"/>
  <c r="Y143" i="24"/>
  <c r="BF54" i="16"/>
  <c r="BF142" i="24"/>
  <c r="BF44" i="22"/>
  <c r="BG44" i="22" s="1"/>
  <c r="BF161" i="24"/>
  <c r="Y177" i="24"/>
  <c r="Z175" i="24"/>
  <c r="BF42" i="22"/>
  <c r="Y171" i="24"/>
  <c r="Z169" i="24"/>
  <c r="Y174" i="24"/>
  <c r="Z172" i="24"/>
  <c r="BF128" i="24"/>
  <c r="BF158" i="24"/>
  <c r="BF167" i="24"/>
  <c r="BF176" i="24"/>
  <c r="Y123" i="24"/>
  <c r="Z121" i="24"/>
  <c r="BF148" i="24"/>
  <c r="BF41" i="22"/>
  <c r="Z124" i="24"/>
  <c r="Y126" i="24"/>
  <c r="Y152" i="24"/>
  <c r="Z150" i="24"/>
  <c r="BF132" i="24"/>
  <c r="BF183" i="24"/>
  <c r="Z115" i="24"/>
  <c r="Y117" i="24"/>
  <c r="BF59" i="16"/>
  <c r="AB102" i="23"/>
  <c r="AB123" i="23" s="1"/>
  <c r="AB136" i="23" s="1"/>
  <c r="BF56" i="16"/>
  <c r="BF116" i="24"/>
  <c r="AO12" i="17"/>
  <c r="AP9" i="17"/>
  <c r="AP10" i="17"/>
  <c r="AP8" i="17"/>
  <c r="AP11" i="17"/>
  <c r="AP59" i="14"/>
  <c r="AQ57" i="14"/>
  <c r="AQ15" i="19" s="1"/>
  <c r="AP15" i="17"/>
  <c r="AO254" i="17" s="1"/>
  <c r="AR58" i="14"/>
  <c r="AR16" i="19" s="1"/>
  <c r="AQ16" i="17"/>
  <c r="AP54" i="14"/>
  <c r="AQ52" i="14"/>
  <c r="AQ10" i="19" s="1"/>
  <c r="AQ50" i="14"/>
  <c r="AQ51" i="14"/>
  <c r="AQ9" i="19" s="1"/>
  <c r="AQ53" i="14"/>
  <c r="AQ11" i="19" s="1"/>
  <c r="AG215" i="14"/>
  <c r="BH8" i="13"/>
  <c r="AE109" i="23" l="1"/>
  <c r="AD146" i="23"/>
  <c r="AE107" i="23"/>
  <c r="AD144" i="23"/>
  <c r="AE108" i="23"/>
  <c r="AD145" i="23"/>
  <c r="AE110" i="23"/>
  <c r="AD147" i="23"/>
  <c r="AD124" i="23"/>
  <c r="AG288" i="14"/>
  <c r="AG289" i="14"/>
  <c r="AG287" i="14"/>
  <c r="BG236" i="24"/>
  <c r="BG237" i="24"/>
  <c r="BG234" i="24"/>
  <c r="AA149" i="19"/>
  <c r="BG235" i="24"/>
  <c r="BG233" i="24"/>
  <c r="AD63" i="8"/>
  <c r="AC58" i="26"/>
  <c r="AC88" i="26" s="1"/>
  <c r="AC96" i="19"/>
  <c r="AB136" i="19"/>
  <c r="AB137" i="19"/>
  <c r="AB135" i="19"/>
  <c r="BB91" i="17"/>
  <c r="AD12" i="17"/>
  <c r="AG331" i="14"/>
  <c r="AG330" i="14"/>
  <c r="AG326" i="14"/>
  <c r="AG322" i="14"/>
  <c r="AG329" i="14"/>
  <c r="AG325" i="14"/>
  <c r="AG321" i="14"/>
  <c r="AG324" i="14"/>
  <c r="AG320" i="14"/>
  <c r="AG318" i="14"/>
  <c r="AG328" i="14"/>
  <c r="AG323" i="14"/>
  <c r="AG327" i="14"/>
  <c r="AG319" i="14"/>
  <c r="BG57" i="16"/>
  <c r="BG158" i="24"/>
  <c r="BF59" i="31"/>
  <c r="AA150" i="19"/>
  <c r="BF56" i="31"/>
  <c r="BF60" i="31"/>
  <c r="AC103" i="23"/>
  <c r="AB137" i="23"/>
  <c r="AQ8" i="19"/>
  <c r="AQ12" i="19" s="1"/>
  <c r="AO253" i="17"/>
  <c r="AG228" i="14"/>
  <c r="BF21" i="30"/>
  <c r="BG116" i="24"/>
  <c r="BG132" i="24"/>
  <c r="BG59" i="16"/>
  <c r="BG176" i="24"/>
  <c r="BG56" i="16"/>
  <c r="BG179" i="24"/>
  <c r="BF58" i="31"/>
  <c r="BF69" i="31"/>
  <c r="BF23" i="30"/>
  <c r="BF68" i="31"/>
  <c r="BF57" i="31"/>
  <c r="BF67" i="31"/>
  <c r="BF55" i="31"/>
  <c r="BG167" i="24"/>
  <c r="BG226" i="24"/>
  <c r="BG41" i="22"/>
  <c r="BG183" i="24"/>
  <c r="BG148" i="24"/>
  <c r="BG161" i="24"/>
  <c r="BG46" i="31"/>
  <c r="BG13" i="30"/>
  <c r="BG22" i="30" s="1"/>
  <c r="BG224" i="24"/>
  <c r="BG228" i="24"/>
  <c r="BG227" i="24"/>
  <c r="BG225" i="24"/>
  <c r="AC102" i="23"/>
  <c r="AC123" i="23" s="1"/>
  <c r="AC136" i="23" s="1"/>
  <c r="BG42" i="22"/>
  <c r="BG53" i="16"/>
  <c r="BG142" i="24"/>
  <c r="BG125" i="24"/>
  <c r="BG135" i="24"/>
  <c r="BG173" i="24"/>
  <c r="Z180" i="24"/>
  <c r="AA178" i="24"/>
  <c r="BG154" i="24"/>
  <c r="BI56" i="8"/>
  <c r="BI61" i="8"/>
  <c r="Z149" i="24"/>
  <c r="AA147" i="24"/>
  <c r="BG119" i="24"/>
  <c r="BG145" i="24"/>
  <c r="Z126" i="24"/>
  <c r="AA124" i="24"/>
  <c r="BG128" i="24"/>
  <c r="Z171" i="24"/>
  <c r="AA169" i="24"/>
  <c r="BG45" i="22"/>
  <c r="BG104" i="23"/>
  <c r="BG54" i="16"/>
  <c r="BG55" i="16"/>
  <c r="BG58" i="16"/>
  <c r="BG170" i="24"/>
  <c r="Z133" i="24"/>
  <c r="AA131" i="24"/>
  <c r="Z162" i="24"/>
  <c r="AA160" i="24"/>
  <c r="BG122" i="24"/>
  <c r="BH56" i="8"/>
  <c r="BH61" i="8"/>
  <c r="BH60" i="16" s="1"/>
  <c r="Z159" i="24"/>
  <c r="AA157" i="24"/>
  <c r="AA115" i="24"/>
  <c r="Z117" i="24"/>
  <c r="Z152" i="24"/>
  <c r="AA150" i="24"/>
  <c r="AA121" i="24"/>
  <c r="Z123" i="24"/>
  <c r="Z177" i="24"/>
  <c r="AA175" i="24"/>
  <c r="Z120" i="24"/>
  <c r="AA118" i="24"/>
  <c r="Z184" i="24"/>
  <c r="AA182" i="24"/>
  <c r="AA134" i="24"/>
  <c r="Z136" i="24"/>
  <c r="BG186" i="24"/>
  <c r="Z155" i="24"/>
  <c r="AA153" i="24"/>
  <c r="BG61" i="16"/>
  <c r="BH61" i="16" s="1"/>
  <c r="Z146" i="24"/>
  <c r="AA144" i="24"/>
  <c r="AA166" i="24"/>
  <c r="Z168" i="24"/>
  <c r="Z187" i="24"/>
  <c r="AA185" i="24"/>
  <c r="AA127" i="24"/>
  <c r="Z129" i="24"/>
  <c r="AA172" i="24"/>
  <c r="Z174" i="24"/>
  <c r="Z143" i="24"/>
  <c r="AA141" i="24"/>
  <c r="BG43" i="22"/>
  <c r="BG151" i="24"/>
  <c r="BH151" i="24" s="1"/>
  <c r="AQ59" i="14"/>
  <c r="AP12" i="17"/>
  <c r="AQ10" i="17"/>
  <c r="AQ8" i="17"/>
  <c r="AQ11" i="17"/>
  <c r="AQ9" i="17"/>
  <c r="AR57" i="14"/>
  <c r="AR15" i="19" s="1"/>
  <c r="AQ15" i="17"/>
  <c r="AP254" i="17" s="1"/>
  <c r="AS58" i="14"/>
  <c r="AS16" i="19" s="1"/>
  <c r="AR16" i="17"/>
  <c r="AR53" i="14"/>
  <c r="AR11" i="19" s="1"/>
  <c r="AR50" i="14"/>
  <c r="AQ54" i="14"/>
  <c r="AR51" i="14"/>
  <c r="AR9" i="19" s="1"/>
  <c r="AR52" i="14"/>
  <c r="AR10" i="19" s="1"/>
  <c r="AH215" i="14"/>
  <c r="BI8" i="13"/>
  <c r="AF110" i="23" l="1"/>
  <c r="AE147" i="23"/>
  <c r="AE124" i="23"/>
  <c r="AF107" i="23"/>
  <c r="AE144" i="23"/>
  <c r="AF108" i="23"/>
  <c r="AE145" i="23"/>
  <c r="AF109" i="23"/>
  <c r="AE146" i="23"/>
  <c r="AH287" i="14"/>
  <c r="AH289" i="14"/>
  <c r="AH288" i="14"/>
  <c r="BH234" i="24"/>
  <c r="BI234" i="24" s="1"/>
  <c r="AB149" i="19"/>
  <c r="BH233" i="24"/>
  <c r="BI233" i="24" s="1"/>
  <c r="BH236" i="24"/>
  <c r="BI236" i="24" s="1"/>
  <c r="BH235" i="24"/>
  <c r="BI235" i="24" s="1"/>
  <c r="BH237" i="24"/>
  <c r="BI237" i="24" s="1"/>
  <c r="AC137" i="19"/>
  <c r="AC136" i="19"/>
  <c r="AC135" i="19"/>
  <c r="AE63" i="8"/>
  <c r="AD58" i="26"/>
  <c r="AD88" i="26" s="1"/>
  <c r="AD96" i="19"/>
  <c r="BC91" i="17"/>
  <c r="BG59" i="31"/>
  <c r="AH329" i="14"/>
  <c r="AH325" i="14"/>
  <c r="AH321" i="14"/>
  <c r="AH328" i="14"/>
  <c r="AH324" i="14"/>
  <c r="AH320" i="14"/>
  <c r="AH323" i="14"/>
  <c r="AH327" i="14"/>
  <c r="AH319" i="14"/>
  <c r="AH330" i="14"/>
  <c r="AH322" i="14"/>
  <c r="AH326" i="14"/>
  <c r="AH331" i="14"/>
  <c r="AH318" i="14"/>
  <c r="BG56" i="31"/>
  <c r="BH186" i="24"/>
  <c r="BI186" i="24" s="1"/>
  <c r="BH41" i="22"/>
  <c r="BI41" i="22" s="1"/>
  <c r="AB150" i="19"/>
  <c r="AD103" i="23"/>
  <c r="AC137" i="23"/>
  <c r="AP253" i="17"/>
  <c r="AR8" i="19"/>
  <c r="AR12" i="19" s="1"/>
  <c r="AH228" i="14"/>
  <c r="BH226" i="24"/>
  <c r="BI226" i="24" s="1"/>
  <c r="BH43" i="22"/>
  <c r="BI43" i="22" s="1"/>
  <c r="BH44" i="22"/>
  <c r="BI44" i="22" s="1"/>
  <c r="BH148" i="24"/>
  <c r="BI148" i="24" s="1"/>
  <c r="BH122" i="24"/>
  <c r="BI122" i="24" s="1"/>
  <c r="BH161" i="24"/>
  <c r="BI161" i="24" s="1"/>
  <c r="BH167" i="24"/>
  <c r="BI167" i="24" s="1"/>
  <c r="BG67" i="31"/>
  <c r="BG57" i="31"/>
  <c r="BG69" i="31"/>
  <c r="BI46" i="31"/>
  <c r="BI13" i="30"/>
  <c r="BH228" i="24"/>
  <c r="BI228" i="24" s="1"/>
  <c r="BG68" i="31"/>
  <c r="BG23" i="30"/>
  <c r="BG21" i="30"/>
  <c r="BI151" i="24"/>
  <c r="BI61" i="16"/>
  <c r="BI60" i="16"/>
  <c r="BH225" i="24"/>
  <c r="BI225" i="24" s="1"/>
  <c r="BG58" i="31"/>
  <c r="BG60" i="31"/>
  <c r="BH46" i="31"/>
  <c r="BH13" i="30"/>
  <c r="BH22" i="30" s="1"/>
  <c r="BH227" i="24"/>
  <c r="BI227" i="24" s="1"/>
  <c r="BH224" i="24"/>
  <c r="BI224" i="24" s="1"/>
  <c r="BG55" i="31"/>
  <c r="AA143" i="24"/>
  <c r="AB141" i="24"/>
  <c r="AA120" i="24"/>
  <c r="AB118" i="24"/>
  <c r="AA123" i="24"/>
  <c r="AB121" i="24"/>
  <c r="BH58" i="16"/>
  <c r="BI58" i="16" s="1"/>
  <c r="BH45" i="22"/>
  <c r="BI45" i="22" s="1"/>
  <c r="BH176" i="24"/>
  <c r="BI176" i="24" s="1"/>
  <c r="BH132" i="24"/>
  <c r="BI132" i="24" s="1"/>
  <c r="BH119" i="24"/>
  <c r="BI119" i="24" s="1"/>
  <c r="BH142" i="24"/>
  <c r="BI142" i="24" s="1"/>
  <c r="BH57" i="16"/>
  <c r="BI57" i="16" s="1"/>
  <c r="BH116" i="24"/>
  <c r="BI116" i="24" s="1"/>
  <c r="AB172" i="24"/>
  <c r="AA174" i="24"/>
  <c r="AA129" i="24"/>
  <c r="AB127" i="24"/>
  <c r="AA168" i="24"/>
  <c r="AB166" i="24"/>
  <c r="AA155" i="24"/>
  <c r="AB153" i="24"/>
  <c r="AB134" i="24"/>
  <c r="AA136" i="24"/>
  <c r="AB115" i="24"/>
  <c r="AA117" i="24"/>
  <c r="AA133" i="24"/>
  <c r="AB131" i="24"/>
  <c r="BH55" i="16"/>
  <c r="BI55" i="16" s="1"/>
  <c r="AA171" i="24"/>
  <c r="AB169" i="24"/>
  <c r="BH179" i="24"/>
  <c r="BI179" i="24" s="1"/>
  <c r="BH56" i="16"/>
  <c r="BI56" i="16" s="1"/>
  <c r="AB147" i="24"/>
  <c r="AA149" i="24"/>
  <c r="BH173" i="24"/>
  <c r="BI173" i="24" s="1"/>
  <c r="BH53" i="16"/>
  <c r="BI53" i="16" s="1"/>
  <c r="AD102" i="23"/>
  <c r="AD123" i="23" s="1"/>
  <c r="AD136" i="23" s="1"/>
  <c r="AA187" i="24"/>
  <c r="AB185" i="24"/>
  <c r="AA146" i="24"/>
  <c r="AB144" i="24"/>
  <c r="AB182" i="24"/>
  <c r="AA184" i="24"/>
  <c r="AA152" i="24"/>
  <c r="AB150" i="24"/>
  <c r="AB157" i="24"/>
  <c r="AA159" i="24"/>
  <c r="BH54" i="16"/>
  <c r="BI54" i="16" s="1"/>
  <c r="AA126" i="24"/>
  <c r="AB124" i="24"/>
  <c r="BH183" i="24"/>
  <c r="BI183" i="24" s="1"/>
  <c r="BH154" i="24"/>
  <c r="BI154" i="24" s="1"/>
  <c r="BH135" i="24"/>
  <c r="BI135" i="24" s="1"/>
  <c r="BH42" i="22"/>
  <c r="BI42" i="22" s="1"/>
  <c r="AA177" i="24"/>
  <c r="AB175" i="24"/>
  <c r="AB160" i="24"/>
  <c r="AA162" i="24"/>
  <c r="BH170" i="24"/>
  <c r="BI170" i="24" s="1"/>
  <c r="BH104" i="23"/>
  <c r="BI104" i="23" s="1"/>
  <c r="BH128" i="24"/>
  <c r="BI128" i="24" s="1"/>
  <c r="BH145" i="24"/>
  <c r="BI145" i="24" s="1"/>
  <c r="AA180" i="24"/>
  <c r="AB178" i="24"/>
  <c r="BH125" i="24"/>
  <c r="BI125" i="24" s="1"/>
  <c r="BH158" i="24"/>
  <c r="BI158" i="24" s="1"/>
  <c r="BH59" i="16"/>
  <c r="BI59" i="16" s="1"/>
  <c r="AQ12" i="17"/>
  <c r="AR9" i="17"/>
  <c r="AR11" i="17"/>
  <c r="AR10" i="17"/>
  <c r="AR59" i="14"/>
  <c r="AT58" i="14"/>
  <c r="AT16" i="19" s="1"/>
  <c r="AS16" i="17"/>
  <c r="AR54" i="14"/>
  <c r="AR8" i="17"/>
  <c r="AS57" i="14"/>
  <c r="AS15" i="19" s="1"/>
  <c r="AR15" i="17"/>
  <c r="AQ254" i="17" s="1"/>
  <c r="AS50" i="14"/>
  <c r="AS51" i="14"/>
  <c r="AS9" i="19" s="1"/>
  <c r="AS52" i="14"/>
  <c r="AS10" i="19" s="1"/>
  <c r="AS53" i="14"/>
  <c r="AS11" i="19" s="1"/>
  <c r="AI215" i="14"/>
  <c r="AG109" i="23" l="1"/>
  <c r="AF146" i="23"/>
  <c r="AG108" i="23"/>
  <c r="AF145" i="23"/>
  <c r="AG107" i="23"/>
  <c r="AF144" i="23"/>
  <c r="AG110" i="23"/>
  <c r="AF147" i="23"/>
  <c r="AF124" i="23"/>
  <c r="AI288" i="14"/>
  <c r="AI289" i="14"/>
  <c r="AI287" i="14"/>
  <c r="AC149" i="19"/>
  <c r="AF63" i="8"/>
  <c r="AE96" i="19"/>
  <c r="AE58" i="26"/>
  <c r="AE88" i="26" s="1"/>
  <c r="AD137" i="19"/>
  <c r="AD136" i="19"/>
  <c r="AD135" i="19"/>
  <c r="BD91" i="17"/>
  <c r="BH59" i="31"/>
  <c r="BI59" i="31" s="1"/>
  <c r="AI328" i="14"/>
  <c r="AI324" i="14"/>
  <c r="AI327" i="14"/>
  <c r="AI323" i="14"/>
  <c r="AI330" i="14"/>
  <c r="AI322" i="14"/>
  <c r="AI329" i="14"/>
  <c r="AI321" i="14"/>
  <c r="AI319" i="14"/>
  <c r="AI331" i="14"/>
  <c r="AI326" i="14"/>
  <c r="AI320" i="14"/>
  <c r="AI325" i="14"/>
  <c r="AI318" i="14"/>
  <c r="BH55" i="31"/>
  <c r="BI55" i="31" s="1"/>
  <c r="AC150" i="19"/>
  <c r="AE103" i="23"/>
  <c r="AD137" i="23"/>
  <c r="AQ253" i="17"/>
  <c r="AS8" i="19"/>
  <c r="AS12" i="19" s="1"/>
  <c r="AI228" i="14"/>
  <c r="BH57" i="31"/>
  <c r="BI57" i="31" s="1"/>
  <c r="BH68" i="31"/>
  <c r="BI68" i="31" s="1"/>
  <c r="BH56" i="31"/>
  <c r="BI56" i="31" s="1"/>
  <c r="BI22" i="30"/>
  <c r="BH60" i="31"/>
  <c r="BI60" i="31" s="1"/>
  <c r="BH67" i="31"/>
  <c r="BI67" i="31" s="1"/>
  <c r="BH58" i="31"/>
  <c r="BI58" i="31" s="1"/>
  <c r="BH21" i="30"/>
  <c r="BI21" i="30" s="1"/>
  <c r="BH69" i="31"/>
  <c r="BI69" i="31" s="1"/>
  <c r="BH23" i="30"/>
  <c r="BI23" i="30" s="1"/>
  <c r="AR12" i="17"/>
  <c r="AE102" i="23"/>
  <c r="AE123" i="23" s="1"/>
  <c r="AE136" i="23" s="1"/>
  <c r="AC131" i="24"/>
  <c r="AB133" i="24"/>
  <c r="AB168" i="24"/>
  <c r="AC166" i="24"/>
  <c r="AC118" i="24"/>
  <c r="AB120" i="24"/>
  <c r="AC185" i="24"/>
  <c r="AB187" i="24"/>
  <c r="AC169" i="24"/>
  <c r="AB171" i="24"/>
  <c r="AB136" i="24"/>
  <c r="AC134" i="24"/>
  <c r="AC172" i="24"/>
  <c r="AB174" i="24"/>
  <c r="AB162" i="24"/>
  <c r="AC160" i="24"/>
  <c r="AC124" i="24"/>
  <c r="AB126" i="24"/>
  <c r="AC157" i="24"/>
  <c r="AB159" i="24"/>
  <c r="AB184" i="24"/>
  <c r="AC182" i="24"/>
  <c r="AC147" i="24"/>
  <c r="AB149" i="24"/>
  <c r="AB155" i="24"/>
  <c r="AC153" i="24"/>
  <c r="AB129" i="24"/>
  <c r="AC127" i="24"/>
  <c r="AB123" i="24"/>
  <c r="AC121" i="24"/>
  <c r="AB143" i="24"/>
  <c r="AC141" i="24"/>
  <c r="AB180" i="24"/>
  <c r="AC178" i="24"/>
  <c r="AB177" i="24"/>
  <c r="AC175" i="24"/>
  <c r="AC150" i="24"/>
  <c r="AB152" i="24"/>
  <c r="AB146" i="24"/>
  <c r="AC144" i="24"/>
  <c r="AB117" i="24"/>
  <c r="AC115" i="24"/>
  <c r="AS59" i="14"/>
  <c r="AS10" i="17"/>
  <c r="AS9" i="17"/>
  <c r="AS11" i="17"/>
  <c r="AS8" i="17"/>
  <c r="AT57" i="14"/>
  <c r="AT15" i="19" s="1"/>
  <c r="AS15" i="17"/>
  <c r="AR254" i="17" s="1"/>
  <c r="AU58" i="14"/>
  <c r="AU16" i="19" s="1"/>
  <c r="AT16" i="17"/>
  <c r="AS54" i="14"/>
  <c r="AT53" i="14"/>
  <c r="AT11" i="19" s="1"/>
  <c r="AT51" i="14"/>
  <c r="AT9" i="19" s="1"/>
  <c r="AT52" i="14"/>
  <c r="AT10" i="19" s="1"/>
  <c r="AT50" i="14"/>
  <c r="AJ215" i="14"/>
  <c r="AH110" i="23" l="1"/>
  <c r="AG147" i="23"/>
  <c r="AG124" i="23"/>
  <c r="AH108" i="23"/>
  <c r="AG145" i="23"/>
  <c r="AH107" i="23"/>
  <c r="AG144" i="23"/>
  <c r="AH109" i="23"/>
  <c r="AG146" i="23"/>
  <c r="AJ288" i="14"/>
  <c r="AJ287" i="14"/>
  <c r="AJ289" i="14"/>
  <c r="AD149" i="19"/>
  <c r="AE136" i="19"/>
  <c r="AE137" i="19"/>
  <c r="AE135" i="19"/>
  <c r="AE149" i="19" s="1"/>
  <c r="AG63" i="8"/>
  <c r="AF96" i="19"/>
  <c r="AF58" i="26"/>
  <c r="AF88" i="26" s="1"/>
  <c r="BE91" i="17"/>
  <c r="AJ331" i="14"/>
  <c r="AJ327" i="14"/>
  <c r="AJ323" i="14"/>
  <c r="AJ330" i="14"/>
  <c r="AJ326" i="14"/>
  <c r="AJ322" i="14"/>
  <c r="AJ329" i="14"/>
  <c r="AJ321" i="14"/>
  <c r="AJ319" i="14"/>
  <c r="AJ325" i="14"/>
  <c r="AJ320" i="14"/>
  <c r="AJ328" i="14"/>
  <c r="AJ318" i="14"/>
  <c r="AJ324" i="14"/>
  <c r="AD150" i="19"/>
  <c r="AF103" i="23"/>
  <c r="AE137" i="23"/>
  <c r="AT8" i="19"/>
  <c r="AT12" i="19" s="1"/>
  <c r="AR253" i="17"/>
  <c r="AJ228" i="14"/>
  <c r="AC117" i="24"/>
  <c r="AD115" i="24"/>
  <c r="AC180" i="24"/>
  <c r="AD178" i="24"/>
  <c r="AC123" i="24"/>
  <c r="AD121" i="24"/>
  <c r="AD153" i="24"/>
  <c r="AC155" i="24"/>
  <c r="AC184" i="24"/>
  <c r="AD182" i="24"/>
  <c r="AC152" i="24"/>
  <c r="AD150" i="24"/>
  <c r="AC126" i="24"/>
  <c r="AD124" i="24"/>
  <c r="AD172" i="24"/>
  <c r="AC174" i="24"/>
  <c r="AD169" i="24"/>
  <c r="AC171" i="24"/>
  <c r="AC120" i="24"/>
  <c r="AD118" i="24"/>
  <c r="AC133" i="24"/>
  <c r="AD131" i="24"/>
  <c r="AC146" i="24"/>
  <c r="AD144" i="24"/>
  <c r="AC177" i="24"/>
  <c r="AD175" i="24"/>
  <c r="AD141" i="24"/>
  <c r="AC143" i="24"/>
  <c r="AD127" i="24"/>
  <c r="AC129" i="24"/>
  <c r="AC162" i="24"/>
  <c r="AD160" i="24"/>
  <c r="AD134" i="24"/>
  <c r="AC136" i="24"/>
  <c r="AD166" i="24"/>
  <c r="AC168" i="24"/>
  <c r="AD147" i="24"/>
  <c r="AC149" i="24"/>
  <c r="AC159" i="24"/>
  <c r="AD157" i="24"/>
  <c r="AC187" i="24"/>
  <c r="AD185" i="24"/>
  <c r="AF102" i="23"/>
  <c r="AF123" i="23" s="1"/>
  <c r="AF136" i="23" s="1"/>
  <c r="AS12" i="17"/>
  <c r="AT10" i="17"/>
  <c r="AT9" i="17"/>
  <c r="AT8" i="17"/>
  <c r="AT59" i="14"/>
  <c r="AT11" i="17"/>
  <c r="AU57" i="14"/>
  <c r="AU15" i="19" s="1"/>
  <c r="AT15" i="17"/>
  <c r="AS254" i="17" s="1"/>
  <c r="AV58" i="14"/>
  <c r="AV16" i="19" s="1"/>
  <c r="AU16" i="17"/>
  <c r="AU51" i="14"/>
  <c r="AU9" i="19" s="1"/>
  <c r="AU50" i="14"/>
  <c r="AT54" i="14"/>
  <c r="AU52" i="14"/>
  <c r="AU10" i="19" s="1"/>
  <c r="AU53" i="14"/>
  <c r="AU11" i="19" s="1"/>
  <c r="AK215" i="14"/>
  <c r="AI109" i="23" l="1"/>
  <c r="AH146" i="23"/>
  <c r="AI108" i="23"/>
  <c r="AH145" i="23"/>
  <c r="AI107" i="23"/>
  <c r="AH144" i="23"/>
  <c r="AI110" i="23"/>
  <c r="AH147" i="23"/>
  <c r="AH124" i="23"/>
  <c r="AK287" i="14"/>
  <c r="AK289" i="14"/>
  <c r="AK288" i="14"/>
  <c r="AH63" i="8"/>
  <c r="AG96" i="19"/>
  <c r="AG58" i="26"/>
  <c r="AG88" i="26" s="1"/>
  <c r="AF137" i="19"/>
  <c r="AF136" i="19"/>
  <c r="AF135" i="19"/>
  <c r="BF91" i="17"/>
  <c r="AK330" i="14"/>
  <c r="AK326" i="14"/>
  <c r="AK322" i="14"/>
  <c r="AK331" i="14"/>
  <c r="AK329" i="14"/>
  <c r="AK325" i="14"/>
  <c r="AK321" i="14"/>
  <c r="AK328" i="14"/>
  <c r="AK318" i="14"/>
  <c r="AK327" i="14"/>
  <c r="AK320" i="14"/>
  <c r="AK324" i="14"/>
  <c r="AK323" i="14"/>
  <c r="AK319" i="14"/>
  <c r="AE150" i="19"/>
  <c r="AG103" i="23"/>
  <c r="AF137" i="23"/>
  <c r="AS253" i="17"/>
  <c r="AU8" i="19"/>
  <c r="AU12" i="19" s="1"/>
  <c r="AK228" i="14"/>
  <c r="AG102" i="23"/>
  <c r="AG123" i="23" s="1"/>
  <c r="AG136" i="23" s="1"/>
  <c r="AD159" i="24"/>
  <c r="AE157" i="24"/>
  <c r="AE160" i="24"/>
  <c r="AD162" i="24"/>
  <c r="AD146" i="24"/>
  <c r="AE144" i="24"/>
  <c r="AE118" i="24"/>
  <c r="AD120" i="24"/>
  <c r="AD152" i="24"/>
  <c r="AE150" i="24"/>
  <c r="AE178" i="24"/>
  <c r="AD180" i="24"/>
  <c r="AD168" i="24"/>
  <c r="AE166" i="24"/>
  <c r="AD143" i="24"/>
  <c r="AE141" i="24"/>
  <c r="AD174" i="24"/>
  <c r="AE172" i="24"/>
  <c r="AE153" i="24"/>
  <c r="AD155" i="24"/>
  <c r="AE185" i="24"/>
  <c r="AD187" i="24"/>
  <c r="AD177" i="24"/>
  <c r="AE175" i="24"/>
  <c r="AD133" i="24"/>
  <c r="AE131" i="24"/>
  <c r="AD126" i="24"/>
  <c r="AE124" i="24"/>
  <c r="AE182" i="24"/>
  <c r="AD184" i="24"/>
  <c r="AE121" i="24"/>
  <c r="AD123" i="24"/>
  <c r="AD117" i="24"/>
  <c r="AE115" i="24"/>
  <c r="AD149" i="24"/>
  <c r="AE147" i="24"/>
  <c r="AE134" i="24"/>
  <c r="AD136" i="24"/>
  <c r="AD129" i="24"/>
  <c r="AE127" i="24"/>
  <c r="AD171" i="24"/>
  <c r="AE169" i="24"/>
  <c r="AT12" i="17"/>
  <c r="AU10" i="17"/>
  <c r="AU9" i="17"/>
  <c r="AU59" i="14"/>
  <c r="AU8" i="17"/>
  <c r="AW58" i="14"/>
  <c r="AW16" i="19" s="1"/>
  <c r="AV16" i="17"/>
  <c r="AV57" i="14"/>
  <c r="AV15" i="19" s="1"/>
  <c r="AU15" i="17"/>
  <c r="AT254" i="17" s="1"/>
  <c r="AU54" i="14"/>
  <c r="AU11" i="17"/>
  <c r="AV50" i="14"/>
  <c r="AV53" i="14"/>
  <c r="AV11" i="19" s="1"/>
  <c r="AV52" i="14"/>
  <c r="AV10" i="19" s="1"/>
  <c r="AV51" i="14"/>
  <c r="AV9" i="19" s="1"/>
  <c r="AL215" i="14"/>
  <c r="AF149" i="19" l="1"/>
  <c r="AJ110" i="23"/>
  <c r="AI147" i="23"/>
  <c r="AI124" i="23"/>
  <c r="AJ108" i="23"/>
  <c r="AI145" i="23"/>
  <c r="AJ107" i="23"/>
  <c r="AI144" i="23"/>
  <c r="AJ109" i="23"/>
  <c r="AI146" i="23"/>
  <c r="AL289" i="14"/>
  <c r="AL287" i="14"/>
  <c r="AL288" i="14"/>
  <c r="AG137" i="19"/>
  <c r="AG136" i="19"/>
  <c r="AG135" i="19"/>
  <c r="AI63" i="8"/>
  <c r="AH58" i="26"/>
  <c r="AH88" i="26" s="1"/>
  <c r="AH96" i="19"/>
  <c r="BG91" i="17"/>
  <c r="AV59" i="14"/>
  <c r="AL331" i="14"/>
  <c r="AL329" i="14"/>
  <c r="AL325" i="14"/>
  <c r="AL321" i="14"/>
  <c r="AL328" i="14"/>
  <c r="AL324" i="14"/>
  <c r="AL320" i="14"/>
  <c r="AL327" i="14"/>
  <c r="AL323" i="14"/>
  <c r="AL326" i="14"/>
  <c r="AL319" i="14"/>
  <c r="AL322" i="14"/>
  <c r="AL330" i="14"/>
  <c r="AL318" i="14"/>
  <c r="AF150" i="19"/>
  <c r="AT253" i="17"/>
  <c r="AH103" i="23"/>
  <c r="AG137" i="23"/>
  <c r="AV8" i="19"/>
  <c r="AV12" i="19" s="1"/>
  <c r="AL228" i="14"/>
  <c r="AE171" i="24"/>
  <c r="AF169" i="24"/>
  <c r="AE117" i="24"/>
  <c r="AF115" i="24"/>
  <c r="AE133" i="24"/>
  <c r="AF131" i="24"/>
  <c r="AE174" i="24"/>
  <c r="AF172" i="24"/>
  <c r="AE168" i="24"/>
  <c r="AF166" i="24"/>
  <c r="AF150" i="24"/>
  <c r="AE152" i="24"/>
  <c r="AF144" i="24"/>
  <c r="AE146" i="24"/>
  <c r="AE159" i="24"/>
  <c r="AF157" i="24"/>
  <c r="AE136" i="24"/>
  <c r="AF134" i="24"/>
  <c r="AF182" i="24"/>
  <c r="AE184" i="24"/>
  <c r="AE187" i="24"/>
  <c r="AF185" i="24"/>
  <c r="AE129" i="24"/>
  <c r="AF127" i="24"/>
  <c r="AE149" i="24"/>
  <c r="AF147" i="24"/>
  <c r="AE126" i="24"/>
  <c r="AF124" i="24"/>
  <c r="AE177" i="24"/>
  <c r="AF175" i="24"/>
  <c r="AE143" i="24"/>
  <c r="AF141" i="24"/>
  <c r="AH102" i="23"/>
  <c r="AH123" i="23" s="1"/>
  <c r="AH136" i="23" s="1"/>
  <c r="AE123" i="24"/>
  <c r="AF121" i="24"/>
  <c r="AE155" i="24"/>
  <c r="AF153" i="24"/>
  <c r="AE180" i="24"/>
  <c r="AF178" i="24"/>
  <c r="AF118" i="24"/>
  <c r="AE120" i="24"/>
  <c r="AF160" i="24"/>
  <c r="AE162" i="24"/>
  <c r="AU12" i="17"/>
  <c r="AV8" i="17"/>
  <c r="AV9" i="17"/>
  <c r="AV10" i="17"/>
  <c r="AV11" i="17"/>
  <c r="AW57" i="14"/>
  <c r="AW15" i="19" s="1"/>
  <c r="AV15" i="17"/>
  <c r="AU254" i="17" s="1"/>
  <c r="AX58" i="14"/>
  <c r="AX16" i="19" s="1"/>
  <c r="AW16" i="17"/>
  <c r="AV54" i="14"/>
  <c r="AW51" i="14"/>
  <c r="AW9" i="19" s="1"/>
  <c r="AW53" i="14"/>
  <c r="AW11" i="19" s="1"/>
  <c r="AW52" i="14"/>
  <c r="AW10" i="19" s="1"/>
  <c r="AW50" i="14"/>
  <c r="AM215" i="14"/>
  <c r="AG149" i="19" l="1"/>
  <c r="AK109" i="23"/>
  <c r="AJ146" i="23"/>
  <c r="AK108" i="23"/>
  <c r="AJ145" i="23"/>
  <c r="AK107" i="23"/>
  <c r="AJ144" i="23"/>
  <c r="AK110" i="23"/>
  <c r="AJ147" i="23"/>
  <c r="AJ124" i="23"/>
  <c r="AM287" i="14"/>
  <c r="AM289" i="14"/>
  <c r="AM288" i="14"/>
  <c r="AJ63" i="8"/>
  <c r="AI96" i="19"/>
  <c r="AI58" i="26"/>
  <c r="AI88" i="26" s="1"/>
  <c r="AH136" i="19"/>
  <c r="AH137" i="19"/>
  <c r="AH135" i="19"/>
  <c r="BH91" i="17"/>
  <c r="AM328" i="14"/>
  <c r="AM324" i="14"/>
  <c r="AM327" i="14"/>
  <c r="AM323" i="14"/>
  <c r="AM326" i="14"/>
  <c r="AM320" i="14"/>
  <c r="AM331" i="14"/>
  <c r="AM325" i="14"/>
  <c r="AM319" i="14"/>
  <c r="AM330" i="14"/>
  <c r="AM322" i="14"/>
  <c r="AM329" i="14"/>
  <c r="AM318" i="14"/>
  <c r="AM321" i="14"/>
  <c r="AG150" i="19"/>
  <c r="AI103" i="23"/>
  <c r="AH137" i="23"/>
  <c r="AW8" i="19"/>
  <c r="AW12" i="19" s="1"/>
  <c r="AU253" i="17"/>
  <c r="AM228" i="14"/>
  <c r="AG178" i="24"/>
  <c r="AF180" i="24"/>
  <c r="AF123" i="24"/>
  <c r="AG121" i="24"/>
  <c r="AF143" i="24"/>
  <c r="AG141" i="24"/>
  <c r="AF126" i="24"/>
  <c r="AG124" i="24"/>
  <c r="AF129" i="24"/>
  <c r="AG127" i="24"/>
  <c r="AF159" i="24"/>
  <c r="AG157" i="24"/>
  <c r="AF174" i="24"/>
  <c r="AG172" i="24"/>
  <c r="AG115" i="24"/>
  <c r="AF117" i="24"/>
  <c r="AF162" i="24"/>
  <c r="AG160" i="24"/>
  <c r="AG182" i="24"/>
  <c r="AF184" i="24"/>
  <c r="AF152" i="24"/>
  <c r="AG150" i="24"/>
  <c r="AG153" i="24"/>
  <c r="AF155" i="24"/>
  <c r="AF177" i="24"/>
  <c r="AG175" i="24"/>
  <c r="AG147" i="24"/>
  <c r="AF149" i="24"/>
  <c r="AF187" i="24"/>
  <c r="AG185" i="24"/>
  <c r="AF136" i="24"/>
  <c r="AG134" i="24"/>
  <c r="AG166" i="24"/>
  <c r="AF168" i="24"/>
  <c r="AF133" i="24"/>
  <c r="AG131" i="24"/>
  <c r="AG169" i="24"/>
  <c r="AF171" i="24"/>
  <c r="AG118" i="24"/>
  <c r="AF120" i="24"/>
  <c r="AI102" i="23"/>
  <c r="AI123" i="23" s="1"/>
  <c r="AI136" i="23" s="1"/>
  <c r="AF146" i="24"/>
  <c r="AG144" i="24"/>
  <c r="AW59" i="14"/>
  <c r="AW10" i="17"/>
  <c r="AV12" i="17"/>
  <c r="AW9" i="17"/>
  <c r="AW8" i="17"/>
  <c r="AW11" i="17"/>
  <c r="AX16" i="17"/>
  <c r="AX57" i="14"/>
  <c r="AX15" i="19" s="1"/>
  <c r="AW15" i="17"/>
  <c r="AV254" i="17" s="1"/>
  <c r="AX50" i="14"/>
  <c r="AX53" i="14"/>
  <c r="AX11" i="19" s="1"/>
  <c r="AW54" i="14"/>
  <c r="AX52" i="14"/>
  <c r="AX10" i="19" s="1"/>
  <c r="AX51" i="14"/>
  <c r="AX9" i="19" s="1"/>
  <c r="AN215" i="14"/>
  <c r="AL107" i="23" l="1"/>
  <c r="AK144" i="23"/>
  <c r="AL110" i="23"/>
  <c r="AK147" i="23"/>
  <c r="AK124" i="23"/>
  <c r="AL108" i="23"/>
  <c r="AK145" i="23"/>
  <c r="AL109" i="23"/>
  <c r="AK146" i="23"/>
  <c r="AN289" i="14"/>
  <c r="AN288" i="14"/>
  <c r="AN287" i="14"/>
  <c r="AH149" i="19"/>
  <c r="AI136" i="19"/>
  <c r="AI137" i="19"/>
  <c r="AI135" i="19"/>
  <c r="AK63" i="8"/>
  <c r="AJ58" i="26"/>
  <c r="AJ88" i="26" s="1"/>
  <c r="AJ96" i="19"/>
  <c r="BI91" i="17"/>
  <c r="AN331" i="14"/>
  <c r="AN327" i="14"/>
  <c r="AN323" i="14"/>
  <c r="AN330" i="14"/>
  <c r="AN326" i="14"/>
  <c r="AN322" i="14"/>
  <c r="AN325" i="14"/>
  <c r="AN319" i="14"/>
  <c r="AN329" i="14"/>
  <c r="AN321" i="14"/>
  <c r="AN324" i="14"/>
  <c r="AN318" i="14"/>
  <c r="AN320" i="14"/>
  <c r="AN328" i="14"/>
  <c r="AH150" i="19"/>
  <c r="AJ103" i="23"/>
  <c r="AI137" i="23"/>
  <c r="AX8" i="19"/>
  <c r="AX12" i="19" s="1"/>
  <c r="AV253" i="17"/>
  <c r="AN228" i="14"/>
  <c r="AH144" i="24"/>
  <c r="AG146" i="24"/>
  <c r="AH131" i="24"/>
  <c r="AG133" i="24"/>
  <c r="AG136" i="24"/>
  <c r="AH134" i="24"/>
  <c r="AG159" i="24"/>
  <c r="AH157" i="24"/>
  <c r="AG126" i="24"/>
  <c r="AH124" i="24"/>
  <c r="AH121" i="24"/>
  <c r="AG123" i="24"/>
  <c r="AH118" i="24"/>
  <c r="AG120" i="24"/>
  <c r="AH147" i="24"/>
  <c r="AG149" i="24"/>
  <c r="AG155" i="24"/>
  <c r="AH153" i="24"/>
  <c r="AG184" i="24"/>
  <c r="AH182" i="24"/>
  <c r="AG117" i="24"/>
  <c r="AH115" i="24"/>
  <c r="AH185" i="24"/>
  <c r="AG187" i="24"/>
  <c r="AG177" i="24"/>
  <c r="AH175" i="24"/>
  <c r="AH150" i="24"/>
  <c r="AG152" i="24"/>
  <c r="AG162" i="24"/>
  <c r="AH160" i="24"/>
  <c r="AG174" i="24"/>
  <c r="AH172" i="24"/>
  <c r="AH127" i="24"/>
  <c r="AG129" i="24"/>
  <c r="AG143" i="24"/>
  <c r="AH141" i="24"/>
  <c r="AJ102" i="23"/>
  <c r="AJ123" i="23" s="1"/>
  <c r="AJ136" i="23" s="1"/>
  <c r="AG171" i="24"/>
  <c r="AH169" i="24"/>
  <c r="AG168" i="24"/>
  <c r="AH166" i="24"/>
  <c r="AG180" i="24"/>
  <c r="AH178" i="24"/>
  <c r="AW12" i="17"/>
  <c r="AX9" i="17"/>
  <c r="AX10" i="17"/>
  <c r="AX15" i="17"/>
  <c r="AW254" i="17" s="1"/>
  <c r="AX8" i="17"/>
  <c r="AX11" i="17"/>
  <c r="AX59" i="14"/>
  <c r="AX54" i="14"/>
  <c r="AO215" i="14"/>
  <c r="AM110" i="23" l="1"/>
  <c r="AL124" i="23"/>
  <c r="AL147" i="23"/>
  <c r="AM108" i="23"/>
  <c r="AL145" i="23"/>
  <c r="AM109" i="23"/>
  <c r="AL146" i="23"/>
  <c r="AM107" i="23"/>
  <c r="AL144" i="23"/>
  <c r="AO288" i="14"/>
  <c r="AO289" i="14"/>
  <c r="AO287" i="14"/>
  <c r="AI149" i="19"/>
  <c r="AL63" i="8"/>
  <c r="AK58" i="26"/>
  <c r="AK88" i="26" s="1"/>
  <c r="AK96" i="19"/>
  <c r="AJ136" i="19"/>
  <c r="AJ137" i="19"/>
  <c r="AJ135" i="19"/>
  <c r="AO330" i="14"/>
  <c r="AO326" i="14"/>
  <c r="AO322" i="14"/>
  <c r="AO329" i="14"/>
  <c r="AO325" i="14"/>
  <c r="AO321" i="14"/>
  <c r="AO331" i="14"/>
  <c r="AO324" i="14"/>
  <c r="AO318" i="14"/>
  <c r="AO320" i="14"/>
  <c r="AO323" i="14"/>
  <c r="AO328" i="14"/>
  <c r="AO319" i="14"/>
  <c r="AO327" i="14"/>
  <c r="AI150" i="19"/>
  <c r="AK103" i="23"/>
  <c r="AJ137" i="23"/>
  <c r="AW253" i="17"/>
  <c r="AO228" i="14"/>
  <c r="AI178" i="24"/>
  <c r="AH180" i="24"/>
  <c r="AH171" i="24"/>
  <c r="AI169" i="24"/>
  <c r="AH143" i="24"/>
  <c r="AI141" i="24"/>
  <c r="AI172" i="24"/>
  <c r="AH174" i="24"/>
  <c r="AI182" i="24"/>
  <c r="AH184" i="24"/>
  <c r="AI157" i="24"/>
  <c r="AH159" i="24"/>
  <c r="AI150" i="24"/>
  <c r="AH152" i="24"/>
  <c r="AH187" i="24"/>
  <c r="AI185" i="24"/>
  <c r="AI147" i="24"/>
  <c r="AH149" i="24"/>
  <c r="AH123" i="24"/>
  <c r="AI121" i="24"/>
  <c r="AH133" i="24"/>
  <c r="AI131" i="24"/>
  <c r="AH168" i="24"/>
  <c r="AI166" i="24"/>
  <c r="AK102" i="23"/>
  <c r="AK123" i="23" s="1"/>
  <c r="AK136" i="23" s="1"/>
  <c r="AI160" i="24"/>
  <c r="AH162" i="24"/>
  <c r="AH177" i="24"/>
  <c r="AI175" i="24"/>
  <c r="AI115" i="24"/>
  <c r="AH117" i="24"/>
  <c r="AH155" i="24"/>
  <c r="AI153" i="24"/>
  <c r="AH126" i="24"/>
  <c r="AI124" i="24"/>
  <c r="AH136" i="24"/>
  <c r="AI134" i="24"/>
  <c r="AH129" i="24"/>
  <c r="AI127" i="24"/>
  <c r="AH120" i="24"/>
  <c r="AI118" i="24"/>
  <c r="AI144" i="24"/>
  <c r="AH146" i="24"/>
  <c r="AX12" i="17"/>
  <c r="AP215" i="14"/>
  <c r="AN107" i="23" l="1"/>
  <c r="AM144" i="23"/>
  <c r="AN109" i="23"/>
  <c r="AM146" i="23"/>
  <c r="AN108" i="23"/>
  <c r="AM145" i="23"/>
  <c r="AN110" i="23"/>
  <c r="AM147" i="23"/>
  <c r="AM124" i="23"/>
  <c r="AP289" i="14"/>
  <c r="AP288" i="14"/>
  <c r="AP287" i="14"/>
  <c r="AJ149" i="19"/>
  <c r="AK137" i="19"/>
  <c r="AK136" i="19"/>
  <c r="AK135" i="19"/>
  <c r="AM63" i="8"/>
  <c r="AL58" i="26"/>
  <c r="AL88" i="26" s="1"/>
  <c r="AL96" i="19"/>
  <c r="AP329" i="14"/>
  <c r="AP325" i="14"/>
  <c r="AP321" i="14"/>
  <c r="AP331" i="14"/>
  <c r="AP328" i="14"/>
  <c r="AP324" i="14"/>
  <c r="AP320" i="14"/>
  <c r="AP323" i="14"/>
  <c r="AP319" i="14"/>
  <c r="AP330" i="14"/>
  <c r="AP322" i="14"/>
  <c r="AP327" i="14"/>
  <c r="AP318" i="14"/>
  <c r="AP326" i="14"/>
  <c r="AJ150" i="19"/>
  <c r="AL103" i="23"/>
  <c r="AK137" i="23"/>
  <c r="AP228" i="14"/>
  <c r="AI129" i="24"/>
  <c r="AJ127" i="24"/>
  <c r="AJ124" i="24"/>
  <c r="AI126" i="24"/>
  <c r="AI168" i="24"/>
  <c r="AJ166" i="24"/>
  <c r="AI123" i="24"/>
  <c r="AJ121" i="24"/>
  <c r="AI187" i="24"/>
  <c r="AJ185" i="24"/>
  <c r="AI171" i="24"/>
  <c r="AJ169" i="24"/>
  <c r="AI146" i="24"/>
  <c r="AJ144" i="24"/>
  <c r="AI117" i="24"/>
  <c r="AJ115" i="24"/>
  <c r="AI162" i="24"/>
  <c r="AJ160" i="24"/>
  <c r="AJ157" i="24"/>
  <c r="AI159" i="24"/>
  <c r="AI174" i="24"/>
  <c r="AJ172" i="24"/>
  <c r="AI120" i="24"/>
  <c r="AJ118" i="24"/>
  <c r="AI136" i="24"/>
  <c r="AJ134" i="24"/>
  <c r="AJ153" i="24"/>
  <c r="AI155" i="24"/>
  <c r="AI177" i="24"/>
  <c r="AJ175" i="24"/>
  <c r="AJ131" i="24"/>
  <c r="AI133" i="24"/>
  <c r="AI143" i="24"/>
  <c r="AJ141" i="24"/>
  <c r="AL102" i="23"/>
  <c r="AL123" i="23" s="1"/>
  <c r="AL136" i="23" s="1"/>
  <c r="AJ147" i="24"/>
  <c r="AI149" i="24"/>
  <c r="AI152" i="24"/>
  <c r="AJ150" i="24"/>
  <c r="AJ182" i="24"/>
  <c r="AI184" i="24"/>
  <c r="AI180" i="24"/>
  <c r="AJ178" i="24"/>
  <c r="AQ215" i="14"/>
  <c r="AO110" i="23" l="1"/>
  <c r="AN147" i="23"/>
  <c r="AN124" i="23"/>
  <c r="AO109" i="23"/>
  <c r="AN146" i="23"/>
  <c r="AO108" i="23"/>
  <c r="AN145" i="23"/>
  <c r="AO107" i="23"/>
  <c r="AN144" i="23"/>
  <c r="AQ289" i="14"/>
  <c r="AQ287" i="14"/>
  <c r="AQ288" i="14"/>
  <c r="AK149" i="19"/>
  <c r="AL137" i="19"/>
  <c r="AL136" i="19"/>
  <c r="AL135" i="19"/>
  <c r="AN63" i="8"/>
  <c r="AM96" i="19"/>
  <c r="AM58" i="26"/>
  <c r="AM88" i="26" s="1"/>
  <c r="AQ331" i="14"/>
  <c r="AQ328" i="14"/>
  <c r="AQ324" i="14"/>
  <c r="AQ327" i="14"/>
  <c r="AQ323" i="14"/>
  <c r="AQ330" i="14"/>
  <c r="AQ322" i="14"/>
  <c r="AQ326" i="14"/>
  <c r="AQ329" i="14"/>
  <c r="AQ321" i="14"/>
  <c r="AQ320" i="14"/>
  <c r="AQ319" i="14"/>
  <c r="AQ325" i="14"/>
  <c r="AQ318" i="14"/>
  <c r="AK150" i="19"/>
  <c r="AM103" i="23"/>
  <c r="AL137" i="23"/>
  <c r="AQ228" i="14"/>
  <c r="AK178" i="24"/>
  <c r="AJ180" i="24"/>
  <c r="AJ152" i="24"/>
  <c r="AK150" i="24"/>
  <c r="AM102" i="23"/>
  <c r="AM123" i="23" s="1"/>
  <c r="AM136" i="23" s="1"/>
  <c r="AJ120" i="24"/>
  <c r="AK118" i="24"/>
  <c r="AK115" i="24"/>
  <c r="AJ117" i="24"/>
  <c r="AJ171" i="24"/>
  <c r="AK169" i="24"/>
  <c r="AJ123" i="24"/>
  <c r="AK121" i="24"/>
  <c r="AJ133" i="24"/>
  <c r="AK131" i="24"/>
  <c r="AK153" i="24"/>
  <c r="AJ155" i="24"/>
  <c r="AJ159" i="24"/>
  <c r="AK157" i="24"/>
  <c r="AK124" i="24"/>
  <c r="AJ126" i="24"/>
  <c r="AJ143" i="24"/>
  <c r="AK141" i="24"/>
  <c r="AJ177" i="24"/>
  <c r="AK175" i="24"/>
  <c r="AJ136" i="24"/>
  <c r="AK134" i="24"/>
  <c r="AJ174" i="24"/>
  <c r="AK172" i="24"/>
  <c r="AJ162" i="24"/>
  <c r="AK160" i="24"/>
  <c r="AJ146" i="24"/>
  <c r="AK144" i="24"/>
  <c r="AK185" i="24"/>
  <c r="AJ187" i="24"/>
  <c r="AK166" i="24"/>
  <c r="AJ168" i="24"/>
  <c r="AK127" i="24"/>
  <c r="AJ129" i="24"/>
  <c r="AJ184" i="24"/>
  <c r="AK182" i="24"/>
  <c r="AK147" i="24"/>
  <c r="AJ149" i="24"/>
  <c r="AR215" i="14"/>
  <c r="AP109" i="23" l="1"/>
  <c r="AO146" i="23"/>
  <c r="AP108" i="23"/>
  <c r="AO145" i="23"/>
  <c r="AP107" i="23"/>
  <c r="AO144" i="23"/>
  <c r="AP110" i="23"/>
  <c r="AO147" i="23"/>
  <c r="AO124" i="23"/>
  <c r="AR288" i="14"/>
  <c r="AR287" i="14"/>
  <c r="AR289" i="14"/>
  <c r="AL149" i="19"/>
  <c r="AO63" i="8"/>
  <c r="AN58" i="26"/>
  <c r="AN88" i="26" s="1"/>
  <c r="AN96" i="19"/>
  <c r="AM137" i="19"/>
  <c r="AM136" i="19"/>
  <c r="AM135" i="19"/>
  <c r="AR331" i="14"/>
  <c r="AR327" i="14"/>
  <c r="AR323" i="14"/>
  <c r="AR330" i="14"/>
  <c r="AR326" i="14"/>
  <c r="AR322" i="14"/>
  <c r="AR329" i="14"/>
  <c r="AR321" i="14"/>
  <c r="AR320" i="14"/>
  <c r="AR319" i="14"/>
  <c r="AR328" i="14"/>
  <c r="AR318" i="14"/>
  <c r="AR325" i="14"/>
  <c r="AR324" i="14"/>
  <c r="AL150" i="19"/>
  <c r="AN103" i="23"/>
  <c r="AM137" i="23"/>
  <c r="AR228" i="14"/>
  <c r="AK162" i="24"/>
  <c r="AL160" i="24"/>
  <c r="AK136" i="24"/>
  <c r="AL134" i="24"/>
  <c r="AL141" i="24"/>
  <c r="AK143" i="24"/>
  <c r="AK159" i="24"/>
  <c r="AL157" i="24"/>
  <c r="AK133" i="24"/>
  <c r="AL131" i="24"/>
  <c r="AL169" i="24"/>
  <c r="AK171" i="24"/>
  <c r="AK120" i="24"/>
  <c r="AL118" i="24"/>
  <c r="AK152" i="24"/>
  <c r="AL150" i="24"/>
  <c r="AL147" i="24"/>
  <c r="AK149" i="24"/>
  <c r="AK129" i="24"/>
  <c r="AL127" i="24"/>
  <c r="AK187" i="24"/>
  <c r="AL185" i="24"/>
  <c r="AK184" i="24"/>
  <c r="AL182" i="24"/>
  <c r="AK146" i="24"/>
  <c r="AL144" i="24"/>
  <c r="AK174" i="24"/>
  <c r="AL172" i="24"/>
  <c r="AK177" i="24"/>
  <c r="AL175" i="24"/>
  <c r="AK123" i="24"/>
  <c r="AL121" i="24"/>
  <c r="AN102" i="23"/>
  <c r="AN123" i="23" s="1"/>
  <c r="AN136" i="23" s="1"/>
  <c r="AK168" i="24"/>
  <c r="AL166" i="24"/>
  <c r="AL124" i="24"/>
  <c r="AK126" i="24"/>
  <c r="AK155" i="24"/>
  <c r="AL153" i="24"/>
  <c r="AK117" i="24"/>
  <c r="AL115" i="24"/>
  <c r="AK180" i="24"/>
  <c r="AL178" i="24"/>
  <c r="AS215" i="14"/>
  <c r="AQ110" i="23" l="1"/>
  <c r="AP147" i="23"/>
  <c r="AP124" i="23"/>
  <c r="AQ108" i="23"/>
  <c r="AP145" i="23"/>
  <c r="AQ107" i="23"/>
  <c r="AP144" i="23"/>
  <c r="AQ109" i="23"/>
  <c r="AP146" i="23"/>
  <c r="AS289" i="14"/>
  <c r="AS288" i="14"/>
  <c r="AS287" i="14"/>
  <c r="AM149" i="19"/>
  <c r="AN137" i="19"/>
  <c r="AN136" i="19"/>
  <c r="AN135" i="19"/>
  <c r="AP63" i="8"/>
  <c r="AO96" i="19"/>
  <c r="AO58" i="26"/>
  <c r="AO88" i="26" s="1"/>
  <c r="AS330" i="14"/>
  <c r="AS326" i="14"/>
  <c r="AS322" i="14"/>
  <c r="AS329" i="14"/>
  <c r="AS325" i="14"/>
  <c r="AS321" i="14"/>
  <c r="AS328" i="14"/>
  <c r="AS318" i="14"/>
  <c r="AS324" i="14"/>
  <c r="AS327" i="14"/>
  <c r="AS319" i="14"/>
  <c r="AS331" i="14"/>
  <c r="AS323" i="14"/>
  <c r="AS320" i="14"/>
  <c r="AM150" i="19"/>
  <c r="AO103" i="23"/>
  <c r="AN137" i="23"/>
  <c r="AS228" i="14"/>
  <c r="AL180" i="24"/>
  <c r="AM178" i="24"/>
  <c r="AL155" i="24"/>
  <c r="AM153" i="24"/>
  <c r="AL168" i="24"/>
  <c r="AM166" i="24"/>
  <c r="AM121" i="24"/>
  <c r="AL123" i="24"/>
  <c r="AM172" i="24"/>
  <c r="AL174" i="24"/>
  <c r="AM182" i="24"/>
  <c r="AL184" i="24"/>
  <c r="AL129" i="24"/>
  <c r="AM127" i="24"/>
  <c r="AM150" i="24"/>
  <c r="AL152" i="24"/>
  <c r="AL159" i="24"/>
  <c r="AM157" i="24"/>
  <c r="AM134" i="24"/>
  <c r="AL136" i="24"/>
  <c r="AL171" i="24"/>
  <c r="AM169" i="24"/>
  <c r="AL117" i="24"/>
  <c r="AM115" i="24"/>
  <c r="AL177" i="24"/>
  <c r="AM175" i="24"/>
  <c r="AM144" i="24"/>
  <c r="AL146" i="24"/>
  <c r="AL187" i="24"/>
  <c r="AM185" i="24"/>
  <c r="AL120" i="24"/>
  <c r="AM118" i="24"/>
  <c r="AL133" i="24"/>
  <c r="AM131" i="24"/>
  <c r="AM160" i="24"/>
  <c r="AL162" i="24"/>
  <c r="AL126" i="24"/>
  <c r="AM124" i="24"/>
  <c r="AO102" i="23"/>
  <c r="AO123" i="23" s="1"/>
  <c r="AO136" i="23" s="1"/>
  <c r="AM147" i="24"/>
  <c r="AL149" i="24"/>
  <c r="AL143" i="24"/>
  <c r="AM141" i="24"/>
  <c r="AT215" i="14"/>
  <c r="AR108" i="23" l="1"/>
  <c r="AQ145" i="23"/>
  <c r="AR107" i="23"/>
  <c r="AQ144" i="23"/>
  <c r="AR109" i="23"/>
  <c r="AQ146" i="23"/>
  <c r="AR110" i="23"/>
  <c r="AQ147" i="23"/>
  <c r="AQ124" i="23"/>
  <c r="AT289" i="14"/>
  <c r="AT287" i="14"/>
  <c r="AT288" i="14"/>
  <c r="AN149" i="19"/>
  <c r="AQ63" i="8"/>
  <c r="AP58" i="26"/>
  <c r="AP88" i="26" s="1"/>
  <c r="AP96" i="19"/>
  <c r="AO136" i="19"/>
  <c r="AO137" i="19"/>
  <c r="AO135" i="19"/>
  <c r="AT329" i="14"/>
  <c r="AT325" i="14"/>
  <c r="AT321" i="14"/>
  <c r="AT328" i="14"/>
  <c r="AT324" i="14"/>
  <c r="AT320" i="14"/>
  <c r="AT327" i="14"/>
  <c r="AT331" i="14"/>
  <c r="AT326" i="14"/>
  <c r="AT323" i="14"/>
  <c r="AT319" i="14"/>
  <c r="AT318" i="14"/>
  <c r="AT330" i="14"/>
  <c r="AT322" i="14"/>
  <c r="AN150" i="19"/>
  <c r="AP103" i="23"/>
  <c r="AO137" i="23"/>
  <c r="AT228" i="14"/>
  <c r="AM143" i="24"/>
  <c r="AN141" i="24"/>
  <c r="AP102" i="23"/>
  <c r="AP123" i="23" s="1"/>
  <c r="AP136" i="23" s="1"/>
  <c r="AM120" i="24"/>
  <c r="AN118" i="24"/>
  <c r="AM117" i="24"/>
  <c r="AN115" i="24"/>
  <c r="AM155" i="24"/>
  <c r="AN153" i="24"/>
  <c r="AM162" i="24"/>
  <c r="AN160" i="24"/>
  <c r="AN144" i="24"/>
  <c r="AM146" i="24"/>
  <c r="AN134" i="24"/>
  <c r="AM136" i="24"/>
  <c r="AM152" i="24"/>
  <c r="AN150" i="24"/>
  <c r="AN182" i="24"/>
  <c r="AM184" i="24"/>
  <c r="AM123" i="24"/>
  <c r="AN121" i="24"/>
  <c r="AM126" i="24"/>
  <c r="AN124" i="24"/>
  <c r="AN131" i="24"/>
  <c r="AM133" i="24"/>
  <c r="AM187" i="24"/>
  <c r="AN185" i="24"/>
  <c r="AN175" i="24"/>
  <c r="AM177" i="24"/>
  <c r="AN169" i="24"/>
  <c r="AM171" i="24"/>
  <c r="AN157" i="24"/>
  <c r="AM159" i="24"/>
  <c r="AM129" i="24"/>
  <c r="AN127" i="24"/>
  <c r="AM168" i="24"/>
  <c r="AN166" i="24"/>
  <c r="AN178" i="24"/>
  <c r="AM180" i="24"/>
  <c r="AN147" i="24"/>
  <c r="AM149" i="24"/>
  <c r="AM174" i="24"/>
  <c r="AN172" i="24"/>
  <c r="AU215" i="14"/>
  <c r="AS107" i="23" l="1"/>
  <c r="AR144" i="23"/>
  <c r="AS110" i="23"/>
  <c r="AR147" i="23"/>
  <c r="AR124" i="23"/>
  <c r="AS109" i="23"/>
  <c r="AR146" i="23"/>
  <c r="AS108" i="23"/>
  <c r="AR145" i="23"/>
  <c r="AU287" i="14"/>
  <c r="AU288" i="14"/>
  <c r="AU289" i="14"/>
  <c r="AO149" i="19"/>
  <c r="AP137" i="19"/>
  <c r="AP136" i="19"/>
  <c r="AP135" i="19"/>
  <c r="AR63" i="8"/>
  <c r="AQ96" i="19"/>
  <c r="AQ58" i="26"/>
  <c r="AQ88" i="26" s="1"/>
  <c r="AU328" i="14"/>
  <c r="AU324" i="14"/>
  <c r="AU331" i="14"/>
  <c r="AU327" i="14"/>
  <c r="AU323" i="14"/>
  <c r="AU326" i="14"/>
  <c r="AU330" i="14"/>
  <c r="AU322" i="14"/>
  <c r="AU325" i="14"/>
  <c r="AU319" i="14"/>
  <c r="AU320" i="14"/>
  <c r="AU321" i="14"/>
  <c r="AU318" i="14"/>
  <c r="AU329" i="14"/>
  <c r="AO150" i="19"/>
  <c r="AQ103" i="23"/>
  <c r="AP137" i="23"/>
  <c r="AU228" i="14"/>
  <c r="AQ102" i="23"/>
  <c r="AQ123" i="23" s="1"/>
  <c r="AQ136" i="23" s="1"/>
  <c r="AN129" i="24"/>
  <c r="AO127" i="24"/>
  <c r="AN187" i="24"/>
  <c r="AO185" i="24"/>
  <c r="AN162" i="24"/>
  <c r="AO160" i="24"/>
  <c r="AN117" i="24"/>
  <c r="AO115" i="24"/>
  <c r="AN184" i="24"/>
  <c r="AO182" i="24"/>
  <c r="AO166" i="24"/>
  <c r="AN168" i="24"/>
  <c r="AN123" i="24"/>
  <c r="AO121" i="24"/>
  <c r="AN152" i="24"/>
  <c r="AO150" i="24"/>
  <c r="AN155" i="24"/>
  <c r="AO153" i="24"/>
  <c r="AN120" i="24"/>
  <c r="AO118" i="24"/>
  <c r="AN143" i="24"/>
  <c r="AO141" i="24"/>
  <c r="AO172" i="24"/>
  <c r="AN174" i="24"/>
  <c r="AO124" i="24"/>
  <c r="AN126" i="24"/>
  <c r="AO178" i="24"/>
  <c r="AN180" i="24"/>
  <c r="AN171" i="24"/>
  <c r="AO169" i="24"/>
  <c r="AN136" i="24"/>
  <c r="AO134" i="24"/>
  <c r="AO147" i="24"/>
  <c r="AN149" i="24"/>
  <c r="AO157" i="24"/>
  <c r="AN159" i="24"/>
  <c r="AN177" i="24"/>
  <c r="AO175" i="24"/>
  <c r="AN133" i="24"/>
  <c r="AO131" i="24"/>
  <c r="AN146" i="24"/>
  <c r="AO144" i="24"/>
  <c r="AV215" i="14"/>
  <c r="AT108" i="23" l="1"/>
  <c r="AS145" i="23"/>
  <c r="AT109" i="23"/>
  <c r="AS146" i="23"/>
  <c r="AT110" i="23"/>
  <c r="AS147" i="23"/>
  <c r="AS124" i="23"/>
  <c r="AT107" i="23"/>
  <c r="AS144" i="23"/>
  <c r="AV287" i="14"/>
  <c r="AV288" i="14"/>
  <c r="AV289" i="14"/>
  <c r="AP149" i="19"/>
  <c r="AS63" i="8"/>
  <c r="AR58" i="26"/>
  <c r="AR88" i="26" s="1"/>
  <c r="AR96" i="19"/>
  <c r="AQ137" i="19"/>
  <c r="AQ136" i="19"/>
  <c r="AQ135" i="19"/>
  <c r="AV331" i="14"/>
  <c r="AV327" i="14"/>
  <c r="AV323" i="14"/>
  <c r="AV330" i="14"/>
  <c r="AV326" i="14"/>
  <c r="AV322" i="14"/>
  <c r="AV325" i="14"/>
  <c r="AV319" i="14"/>
  <c r="AV324" i="14"/>
  <c r="AV320" i="14"/>
  <c r="AV318" i="14"/>
  <c r="AV329" i="14"/>
  <c r="AV321" i="14"/>
  <c r="AV328" i="14"/>
  <c r="AP150" i="19"/>
  <c r="AR103" i="23"/>
  <c r="AQ137" i="23"/>
  <c r="AV228" i="14"/>
  <c r="AP144" i="24"/>
  <c r="AO146" i="24"/>
  <c r="AO177" i="24"/>
  <c r="AP175" i="24"/>
  <c r="AO171" i="24"/>
  <c r="AP169" i="24"/>
  <c r="AP141" i="24"/>
  <c r="AO143" i="24"/>
  <c r="AP153" i="24"/>
  <c r="AO155" i="24"/>
  <c r="AP121" i="24"/>
  <c r="AO123" i="24"/>
  <c r="AO184" i="24"/>
  <c r="AP182" i="24"/>
  <c r="AP160" i="24"/>
  <c r="AO162" i="24"/>
  <c r="AO129" i="24"/>
  <c r="AP127" i="24"/>
  <c r="AO149" i="24"/>
  <c r="AP147" i="24"/>
  <c r="AO126" i="24"/>
  <c r="AP124" i="24"/>
  <c r="AO133" i="24"/>
  <c r="AP131" i="24"/>
  <c r="AO136" i="24"/>
  <c r="AP134" i="24"/>
  <c r="AO120" i="24"/>
  <c r="AP118" i="24"/>
  <c r="AP150" i="24"/>
  <c r="AO152" i="24"/>
  <c r="AO117" i="24"/>
  <c r="AP115" i="24"/>
  <c r="AP185" i="24"/>
  <c r="AO187" i="24"/>
  <c r="AP157" i="24"/>
  <c r="AO159" i="24"/>
  <c r="AO180" i="24"/>
  <c r="AP178" i="24"/>
  <c r="AO174" i="24"/>
  <c r="AP172" i="24"/>
  <c r="AP166" i="24"/>
  <c r="AO168" i="24"/>
  <c r="AR102" i="23"/>
  <c r="AR123" i="23" s="1"/>
  <c r="AR136" i="23" s="1"/>
  <c r="AW215" i="14"/>
  <c r="AU107" i="23" l="1"/>
  <c r="AT144" i="23"/>
  <c r="AU109" i="23"/>
  <c r="AT146" i="23"/>
  <c r="AU110" i="23"/>
  <c r="AT147" i="23"/>
  <c r="AT124" i="23"/>
  <c r="AU108" i="23"/>
  <c r="AT145" i="23"/>
  <c r="AW289" i="14"/>
  <c r="AW287" i="14"/>
  <c r="AW288" i="14"/>
  <c r="AQ149" i="19"/>
  <c r="AR136" i="19"/>
  <c r="AR137" i="19"/>
  <c r="AR135" i="19"/>
  <c r="AT63" i="8"/>
  <c r="AS58" i="26"/>
  <c r="AS88" i="26" s="1"/>
  <c r="AS96" i="19"/>
  <c r="AW331" i="14"/>
  <c r="AW330" i="14"/>
  <c r="AW326" i="14"/>
  <c r="AW322" i="14"/>
  <c r="AW329" i="14"/>
  <c r="AW325" i="14"/>
  <c r="AW321" i="14"/>
  <c r="AW324" i="14"/>
  <c r="AW320" i="14"/>
  <c r="AW318" i="14"/>
  <c r="AW328" i="14"/>
  <c r="AW323" i="14"/>
  <c r="AW327" i="14"/>
  <c r="AW319" i="14"/>
  <c r="AQ150" i="19"/>
  <c r="AS103" i="23"/>
  <c r="AR137" i="23"/>
  <c r="AW228" i="14"/>
  <c r="AS102" i="23"/>
  <c r="AS123" i="23" s="1"/>
  <c r="AS136" i="23" s="1"/>
  <c r="AP174" i="24"/>
  <c r="AQ172" i="24"/>
  <c r="AQ115" i="24"/>
  <c r="AP117" i="24"/>
  <c r="AP120" i="24"/>
  <c r="AQ118" i="24"/>
  <c r="AP133" i="24"/>
  <c r="AQ131" i="24"/>
  <c r="AP149" i="24"/>
  <c r="AQ147" i="24"/>
  <c r="AP177" i="24"/>
  <c r="AQ175" i="24"/>
  <c r="AP159" i="24"/>
  <c r="AQ157" i="24"/>
  <c r="AP162" i="24"/>
  <c r="AQ160" i="24"/>
  <c r="AP123" i="24"/>
  <c r="AQ121" i="24"/>
  <c r="AP143" i="24"/>
  <c r="AQ141" i="24"/>
  <c r="AP180" i="24"/>
  <c r="AQ178" i="24"/>
  <c r="AQ134" i="24"/>
  <c r="AP136" i="24"/>
  <c r="AP126" i="24"/>
  <c r="AQ124" i="24"/>
  <c r="AQ127" i="24"/>
  <c r="AP129" i="24"/>
  <c r="AQ182" i="24"/>
  <c r="AP184" i="24"/>
  <c r="AP171" i="24"/>
  <c r="AQ169" i="24"/>
  <c r="AP168" i="24"/>
  <c r="AQ166" i="24"/>
  <c r="AP187" i="24"/>
  <c r="AQ185" i="24"/>
  <c r="AP152" i="24"/>
  <c r="AQ150" i="24"/>
  <c r="AQ153" i="24"/>
  <c r="AP155" i="24"/>
  <c r="AQ144" i="24"/>
  <c r="AP146" i="24"/>
  <c r="AX215" i="14"/>
  <c r="AV108" i="23" l="1"/>
  <c r="AU145" i="23"/>
  <c r="AV109" i="23"/>
  <c r="AU146" i="23"/>
  <c r="AV110" i="23"/>
  <c r="AU147" i="23"/>
  <c r="AU124" i="23"/>
  <c r="AV107" i="23"/>
  <c r="AU144" i="23"/>
  <c r="AX289" i="14"/>
  <c r="AX288" i="14"/>
  <c r="AX287" i="14"/>
  <c r="AR149" i="19"/>
  <c r="AU63" i="8"/>
  <c r="AT58" i="26"/>
  <c r="AT88" i="26" s="1"/>
  <c r="AT96" i="19"/>
  <c r="AS137" i="19"/>
  <c r="AS136" i="19"/>
  <c r="AS135" i="19"/>
  <c r="AX329" i="14"/>
  <c r="AX325" i="14"/>
  <c r="AX321" i="14"/>
  <c r="AX328" i="14"/>
  <c r="AX324" i="14"/>
  <c r="AX320" i="14"/>
  <c r="AX323" i="14"/>
  <c r="AX327" i="14"/>
  <c r="AX319" i="14"/>
  <c r="AX331" i="14"/>
  <c r="AX330" i="14"/>
  <c r="AX322" i="14"/>
  <c r="AX326" i="14"/>
  <c r="AX318" i="14"/>
  <c r="AR150" i="19"/>
  <c r="AT103" i="23"/>
  <c r="AS137" i="23"/>
  <c r="AX228" i="14"/>
  <c r="AQ152" i="24"/>
  <c r="AR150" i="24"/>
  <c r="AQ168" i="24"/>
  <c r="AR166" i="24"/>
  <c r="AR124" i="24"/>
  <c r="AQ126" i="24"/>
  <c r="AR178" i="24"/>
  <c r="AQ180" i="24"/>
  <c r="AQ123" i="24"/>
  <c r="AR121" i="24"/>
  <c r="AQ159" i="24"/>
  <c r="AR157" i="24"/>
  <c r="AR147" i="24"/>
  <c r="AQ149" i="24"/>
  <c r="AQ120" i="24"/>
  <c r="AR118" i="24"/>
  <c r="AR172" i="24"/>
  <c r="AQ174" i="24"/>
  <c r="AR144" i="24"/>
  <c r="AQ146" i="24"/>
  <c r="AR182" i="24"/>
  <c r="AQ184" i="24"/>
  <c r="AR185" i="24"/>
  <c r="AQ187" i="24"/>
  <c r="AR169" i="24"/>
  <c r="AQ171" i="24"/>
  <c r="AQ143" i="24"/>
  <c r="AR141" i="24"/>
  <c r="AR160" i="24"/>
  <c r="AQ162" i="24"/>
  <c r="AR175" i="24"/>
  <c r="AQ177" i="24"/>
  <c r="AR131" i="24"/>
  <c r="AQ133" i="24"/>
  <c r="AR153" i="24"/>
  <c r="AQ155" i="24"/>
  <c r="AR127" i="24"/>
  <c r="AQ129" i="24"/>
  <c r="AR134" i="24"/>
  <c r="AQ136" i="24"/>
  <c r="AR115" i="24"/>
  <c r="AQ117" i="24"/>
  <c r="AT102" i="23"/>
  <c r="AT123" i="23" s="1"/>
  <c r="AT136" i="23" s="1"/>
  <c r="AY215" i="14"/>
  <c r="AW107" i="23" l="1"/>
  <c r="AV144" i="23"/>
  <c r="AW109" i="23"/>
  <c r="AV146" i="23"/>
  <c r="AW110" i="23"/>
  <c r="AV147" i="23"/>
  <c r="AV124" i="23"/>
  <c r="AW108" i="23"/>
  <c r="AV145" i="23"/>
  <c r="AY287" i="14"/>
  <c r="AY288" i="14"/>
  <c r="AY289" i="14"/>
  <c r="AS149" i="19"/>
  <c r="AT137" i="19"/>
  <c r="AT136" i="19"/>
  <c r="AT135" i="19"/>
  <c r="AV63" i="8"/>
  <c r="AU96" i="19"/>
  <c r="AU58" i="26"/>
  <c r="AU88" i="26" s="1"/>
  <c r="AY328" i="14"/>
  <c r="AY324" i="14"/>
  <c r="AY327" i="14"/>
  <c r="AY323" i="14"/>
  <c r="AY331" i="14"/>
  <c r="AY330" i="14"/>
  <c r="AY322" i="14"/>
  <c r="AY329" i="14"/>
  <c r="AY321" i="14"/>
  <c r="AY319" i="14"/>
  <c r="AY326" i="14"/>
  <c r="AY320" i="14"/>
  <c r="AY318" i="14"/>
  <c r="AY325" i="14"/>
  <c r="AS150" i="19"/>
  <c r="AU103" i="23"/>
  <c r="AT137" i="23"/>
  <c r="AY228" i="14"/>
  <c r="AS141" i="24"/>
  <c r="AR143" i="24"/>
  <c r="AR120" i="24"/>
  <c r="AS118" i="24"/>
  <c r="AR159" i="24"/>
  <c r="AS157" i="24"/>
  <c r="AS166" i="24"/>
  <c r="AR168" i="24"/>
  <c r="AU102" i="23"/>
  <c r="AU123" i="23" s="1"/>
  <c r="AU136" i="23" s="1"/>
  <c r="AS134" i="24"/>
  <c r="AR136" i="24"/>
  <c r="AR155" i="24"/>
  <c r="AS153" i="24"/>
  <c r="AS175" i="24"/>
  <c r="AR177" i="24"/>
  <c r="AR187" i="24"/>
  <c r="AS185" i="24"/>
  <c r="AS144" i="24"/>
  <c r="AR146" i="24"/>
  <c r="AS178" i="24"/>
  <c r="AR180" i="24"/>
  <c r="AR123" i="24"/>
  <c r="AS121" i="24"/>
  <c r="AR152" i="24"/>
  <c r="AS150" i="24"/>
  <c r="AR117" i="24"/>
  <c r="AS115" i="24"/>
  <c r="AR129" i="24"/>
  <c r="AS127" i="24"/>
  <c r="AS131" i="24"/>
  <c r="AR133" i="24"/>
  <c r="AR162" i="24"/>
  <c r="AS160" i="24"/>
  <c r="AR171" i="24"/>
  <c r="AS169" i="24"/>
  <c r="AS182" i="24"/>
  <c r="AR184" i="24"/>
  <c r="AS172" i="24"/>
  <c r="AR174" i="24"/>
  <c r="AS147" i="24"/>
  <c r="AR149" i="24"/>
  <c r="AS124" i="24"/>
  <c r="AR126" i="24"/>
  <c r="AZ215" i="14"/>
  <c r="AT149" i="19" l="1"/>
  <c r="AX108" i="23"/>
  <c r="AW145" i="23"/>
  <c r="AX109" i="23"/>
  <c r="AW146" i="23"/>
  <c r="AX110" i="23"/>
  <c r="AW147" i="23"/>
  <c r="AW124" i="23"/>
  <c r="AX107" i="23"/>
  <c r="AW144" i="23"/>
  <c r="AZ288" i="14"/>
  <c r="AZ287" i="14"/>
  <c r="AZ289" i="14"/>
  <c r="AW63" i="8"/>
  <c r="AV58" i="26"/>
  <c r="AV88" i="26" s="1"/>
  <c r="AV96" i="19"/>
  <c r="AU137" i="19"/>
  <c r="AU136" i="19"/>
  <c r="AU135" i="19"/>
  <c r="AZ331" i="14"/>
  <c r="AZ327" i="14"/>
  <c r="AZ323" i="14"/>
  <c r="AZ330" i="14"/>
  <c r="AZ326" i="14"/>
  <c r="AZ322" i="14"/>
  <c r="AZ329" i="14"/>
  <c r="AZ321" i="14"/>
  <c r="AZ319" i="14"/>
  <c r="AZ325" i="14"/>
  <c r="AZ320" i="14"/>
  <c r="AZ328" i="14"/>
  <c r="AZ318" i="14"/>
  <c r="AZ324" i="14"/>
  <c r="AT150" i="19"/>
  <c r="AV103" i="23"/>
  <c r="AU137" i="23"/>
  <c r="AZ228" i="14"/>
  <c r="AS149" i="24"/>
  <c r="AT147" i="24"/>
  <c r="AT169" i="24"/>
  <c r="AS171" i="24"/>
  <c r="AT115" i="24"/>
  <c r="AS117" i="24"/>
  <c r="AT121" i="24"/>
  <c r="AS123" i="24"/>
  <c r="AT118" i="24"/>
  <c r="AS120" i="24"/>
  <c r="AT124" i="24"/>
  <c r="AS126" i="24"/>
  <c r="AS174" i="24"/>
  <c r="AT172" i="24"/>
  <c r="AS133" i="24"/>
  <c r="AT131" i="24"/>
  <c r="AS146" i="24"/>
  <c r="AT144" i="24"/>
  <c r="AT175" i="24"/>
  <c r="AS177" i="24"/>
  <c r="AS136" i="24"/>
  <c r="AT134" i="24"/>
  <c r="AS168" i="24"/>
  <c r="AT166" i="24"/>
  <c r="AT160" i="24"/>
  <c r="AS162" i="24"/>
  <c r="AS129" i="24"/>
  <c r="AT127" i="24"/>
  <c r="AS152" i="24"/>
  <c r="AT150" i="24"/>
  <c r="AT185" i="24"/>
  <c r="AS187" i="24"/>
  <c r="AT153" i="24"/>
  <c r="AS155" i="24"/>
  <c r="AV102" i="23"/>
  <c r="AV123" i="23" s="1"/>
  <c r="AV136" i="23" s="1"/>
  <c r="AT157" i="24"/>
  <c r="AS159" i="24"/>
  <c r="AS184" i="24"/>
  <c r="AT182" i="24"/>
  <c r="AT178" i="24"/>
  <c r="AS180" i="24"/>
  <c r="AS143" i="24"/>
  <c r="AT141" i="24"/>
  <c r="BA215" i="14"/>
  <c r="AY107" i="23" l="1"/>
  <c r="AX144" i="23"/>
  <c r="AY109" i="23"/>
  <c r="AX146" i="23"/>
  <c r="AY110" i="23"/>
  <c r="AX147" i="23"/>
  <c r="AX124" i="23"/>
  <c r="AY108" i="23"/>
  <c r="AX145" i="23"/>
  <c r="AU149" i="19"/>
  <c r="BA287" i="14"/>
  <c r="BA288" i="14"/>
  <c r="BA289" i="14"/>
  <c r="AV137" i="19"/>
  <c r="AV136" i="19"/>
  <c r="AV135" i="19"/>
  <c r="AX63" i="8"/>
  <c r="AW96" i="19"/>
  <c r="AW58" i="26"/>
  <c r="AW88" i="26" s="1"/>
  <c r="BA330" i="14"/>
  <c r="BA326" i="14"/>
  <c r="BA322" i="14"/>
  <c r="BA331" i="14"/>
  <c r="BA329" i="14"/>
  <c r="BA325" i="14"/>
  <c r="BA321" i="14"/>
  <c r="BA328" i="14"/>
  <c r="BA318" i="14"/>
  <c r="BA327" i="14"/>
  <c r="BA320" i="14"/>
  <c r="BA324" i="14"/>
  <c r="BA323" i="14"/>
  <c r="BA319" i="14"/>
  <c r="AU150" i="19"/>
  <c r="AW103" i="23"/>
  <c r="AV137" i="23"/>
  <c r="BA228" i="14"/>
  <c r="AT143" i="24"/>
  <c r="AU141" i="24"/>
  <c r="AT184" i="24"/>
  <c r="AU182" i="24"/>
  <c r="AW102" i="23"/>
  <c r="AW123" i="23" s="1"/>
  <c r="AW136" i="23" s="1"/>
  <c r="AT129" i="24"/>
  <c r="AU127" i="24"/>
  <c r="AT168" i="24"/>
  <c r="AU166" i="24"/>
  <c r="AT133" i="24"/>
  <c r="AU131" i="24"/>
  <c r="AU185" i="24"/>
  <c r="AT187" i="24"/>
  <c r="AT177" i="24"/>
  <c r="AU175" i="24"/>
  <c r="AT126" i="24"/>
  <c r="AU124" i="24"/>
  <c r="AU121" i="24"/>
  <c r="AT123" i="24"/>
  <c r="AT171" i="24"/>
  <c r="AU169" i="24"/>
  <c r="AU150" i="24"/>
  <c r="AT152" i="24"/>
  <c r="AU134" i="24"/>
  <c r="AT136" i="24"/>
  <c r="AU144" i="24"/>
  <c r="AT146" i="24"/>
  <c r="AT174" i="24"/>
  <c r="AU172" i="24"/>
  <c r="AU147" i="24"/>
  <c r="AT149" i="24"/>
  <c r="AT180" i="24"/>
  <c r="AU178" i="24"/>
  <c r="AT159" i="24"/>
  <c r="AU157" i="24"/>
  <c r="AT155" i="24"/>
  <c r="AU153" i="24"/>
  <c r="AU160" i="24"/>
  <c r="AT162" i="24"/>
  <c r="AU118" i="24"/>
  <c r="AT120" i="24"/>
  <c r="AU115" i="24"/>
  <c r="AT117" i="24"/>
  <c r="BB215" i="14"/>
  <c r="AY145" i="23" l="1"/>
  <c r="AZ108" i="23"/>
  <c r="AY146" i="23"/>
  <c r="AZ109" i="23"/>
  <c r="AY147" i="23"/>
  <c r="AY124" i="23"/>
  <c r="AZ110" i="23"/>
  <c r="AY144" i="23"/>
  <c r="AZ107" i="23"/>
  <c r="BB287" i="14"/>
  <c r="BB289" i="14"/>
  <c r="BB288" i="14"/>
  <c r="AV149" i="19"/>
  <c r="AY63" i="8"/>
  <c r="AX58" i="26"/>
  <c r="AX88" i="26" s="1"/>
  <c r="AX96" i="19"/>
  <c r="AW137" i="19"/>
  <c r="AW136" i="19"/>
  <c r="AW135" i="19"/>
  <c r="BB331" i="14"/>
  <c r="BB329" i="14"/>
  <c r="BB325" i="14"/>
  <c r="BB321" i="14"/>
  <c r="BB328" i="14"/>
  <c r="BB324" i="14"/>
  <c r="BB320" i="14"/>
  <c r="BB327" i="14"/>
  <c r="BB323" i="14"/>
  <c r="BB326" i="14"/>
  <c r="BB319" i="14"/>
  <c r="BB330" i="14"/>
  <c r="BB318" i="14"/>
  <c r="BB322" i="14"/>
  <c r="AV150" i="19"/>
  <c r="AX103" i="23"/>
  <c r="AW137" i="23"/>
  <c r="BB228" i="14"/>
  <c r="AV157" i="24"/>
  <c r="AU159" i="24"/>
  <c r="AU177" i="24"/>
  <c r="AV175" i="24"/>
  <c r="AU133" i="24"/>
  <c r="AV131" i="24"/>
  <c r="AU129" i="24"/>
  <c r="AV127" i="24"/>
  <c r="AV182" i="24"/>
  <c r="AU184" i="24"/>
  <c r="AV115" i="24"/>
  <c r="AU117" i="24"/>
  <c r="AV160" i="24"/>
  <c r="AU162" i="24"/>
  <c r="AV147" i="24"/>
  <c r="AU149" i="24"/>
  <c r="AU146" i="24"/>
  <c r="AV144" i="24"/>
  <c r="AU152" i="24"/>
  <c r="AV150" i="24"/>
  <c r="AU123" i="24"/>
  <c r="AV121" i="24"/>
  <c r="AV153" i="24"/>
  <c r="AU155" i="24"/>
  <c r="AU180" i="24"/>
  <c r="AV178" i="24"/>
  <c r="AU174" i="24"/>
  <c r="AV172" i="24"/>
  <c r="AV169" i="24"/>
  <c r="AU171" i="24"/>
  <c r="AV124" i="24"/>
  <c r="AU126" i="24"/>
  <c r="AU168" i="24"/>
  <c r="AV166" i="24"/>
  <c r="AX102" i="23"/>
  <c r="AX123" i="23" s="1"/>
  <c r="AX136" i="23" s="1"/>
  <c r="AU143" i="24"/>
  <c r="AV141" i="24"/>
  <c r="AU120" i="24"/>
  <c r="AV118" i="24"/>
  <c r="AU136" i="24"/>
  <c r="AV134" i="24"/>
  <c r="AV185" i="24"/>
  <c r="AU187" i="24"/>
  <c r="BC215" i="14"/>
  <c r="AZ145" i="23" l="1"/>
  <c r="BA108" i="23"/>
  <c r="AZ146" i="23"/>
  <c r="BA109" i="23"/>
  <c r="AZ147" i="23"/>
  <c r="AZ124" i="23"/>
  <c r="BA110" i="23"/>
  <c r="AZ144" i="23"/>
  <c r="BA107" i="23"/>
  <c r="BC289" i="14"/>
  <c r="BC287" i="14"/>
  <c r="BC288" i="14"/>
  <c r="AW149" i="19"/>
  <c r="AX136" i="19"/>
  <c r="AX137" i="19"/>
  <c r="AX135" i="19"/>
  <c r="AZ63" i="8"/>
  <c r="AY96" i="19"/>
  <c r="AY58" i="26"/>
  <c r="AY88" i="26" s="1"/>
  <c r="BC328" i="14"/>
  <c r="BC324" i="14"/>
  <c r="BC327" i="14"/>
  <c r="BC323" i="14"/>
  <c r="BC326" i="14"/>
  <c r="BC320" i="14"/>
  <c r="BC325" i="14"/>
  <c r="BC319" i="14"/>
  <c r="BC330" i="14"/>
  <c r="BC322" i="14"/>
  <c r="BC318" i="14"/>
  <c r="BC321" i="14"/>
  <c r="BC331" i="14"/>
  <c r="BC329" i="14"/>
  <c r="AW150" i="19"/>
  <c r="AY103" i="23"/>
  <c r="AX137" i="23"/>
  <c r="BC228" i="14"/>
  <c r="AW118" i="24"/>
  <c r="AV120" i="24"/>
  <c r="AY102" i="23"/>
  <c r="AY123" i="23" s="1"/>
  <c r="AY136" i="23" s="1"/>
  <c r="AV174" i="24"/>
  <c r="AW172" i="24"/>
  <c r="AV152" i="24"/>
  <c r="AW150" i="24"/>
  <c r="AV129" i="24"/>
  <c r="AW127" i="24"/>
  <c r="AV177" i="24"/>
  <c r="AW175" i="24"/>
  <c r="AW185" i="24"/>
  <c r="AV187" i="24"/>
  <c r="AW124" i="24"/>
  <c r="AV126" i="24"/>
  <c r="AW153" i="24"/>
  <c r="AV155" i="24"/>
  <c r="AV149" i="24"/>
  <c r="AW147" i="24"/>
  <c r="AW115" i="24"/>
  <c r="AV117" i="24"/>
  <c r="AV136" i="24"/>
  <c r="AW134" i="24"/>
  <c r="AW141" i="24"/>
  <c r="AV143" i="24"/>
  <c r="AV168" i="24"/>
  <c r="AW166" i="24"/>
  <c r="AV180" i="24"/>
  <c r="AW178" i="24"/>
  <c r="AV123" i="24"/>
  <c r="AW121" i="24"/>
  <c r="AV146" i="24"/>
  <c r="AW144" i="24"/>
  <c r="AW131" i="24"/>
  <c r="AV133" i="24"/>
  <c r="AW169" i="24"/>
  <c r="AV171" i="24"/>
  <c r="AV162" i="24"/>
  <c r="AW160" i="24"/>
  <c r="AW182" i="24"/>
  <c r="AV184" i="24"/>
  <c r="AV159" i="24"/>
  <c r="AW157" i="24"/>
  <c r="BD215" i="14"/>
  <c r="BA147" i="23" l="1"/>
  <c r="BA124" i="23"/>
  <c r="BB110" i="23"/>
  <c r="BA145" i="23"/>
  <c r="BB108" i="23"/>
  <c r="BA146" i="23"/>
  <c r="BB109" i="23"/>
  <c r="BA144" i="23"/>
  <c r="BB107" i="23"/>
  <c r="BD288" i="14"/>
  <c r="BD289" i="14"/>
  <c r="BD287" i="14"/>
  <c r="AX149" i="19"/>
  <c r="AZ58" i="26"/>
  <c r="AZ88" i="26" s="1"/>
  <c r="AZ96" i="19"/>
  <c r="BA63" i="8"/>
  <c r="AY137" i="19"/>
  <c r="AY136" i="19"/>
  <c r="AY135" i="19"/>
  <c r="BD331" i="14"/>
  <c r="BD327" i="14"/>
  <c r="BD323" i="14"/>
  <c r="BD330" i="14"/>
  <c r="BD326" i="14"/>
  <c r="BD322" i="14"/>
  <c r="BD325" i="14"/>
  <c r="BD319" i="14"/>
  <c r="BD329" i="14"/>
  <c r="BD321" i="14"/>
  <c r="BD324" i="14"/>
  <c r="BD318" i="14"/>
  <c r="BD320" i="14"/>
  <c r="BD328" i="14"/>
  <c r="AX150" i="19"/>
  <c r="AY137" i="23"/>
  <c r="AZ103" i="23"/>
  <c r="BD228" i="14"/>
  <c r="AW159" i="24"/>
  <c r="AX157" i="24"/>
  <c r="AX160" i="24"/>
  <c r="AW162" i="24"/>
  <c r="AX121" i="24"/>
  <c r="AW123" i="24"/>
  <c r="AX166" i="24"/>
  <c r="AW168" i="24"/>
  <c r="AW136" i="24"/>
  <c r="AX134" i="24"/>
  <c r="AW149" i="24"/>
  <c r="AX147" i="24"/>
  <c r="AW177" i="24"/>
  <c r="AX175" i="24"/>
  <c r="AX150" i="24"/>
  <c r="AW152" i="24"/>
  <c r="AW133" i="24"/>
  <c r="AX131" i="24"/>
  <c r="AW126" i="24"/>
  <c r="AX124" i="24"/>
  <c r="AZ102" i="23"/>
  <c r="AZ123" i="23" s="1"/>
  <c r="AZ136" i="23" s="1"/>
  <c r="AW146" i="24"/>
  <c r="AX144" i="24"/>
  <c r="AW180" i="24"/>
  <c r="AX178" i="24"/>
  <c r="AW129" i="24"/>
  <c r="AX127" i="24"/>
  <c r="AW174" i="24"/>
  <c r="AX172" i="24"/>
  <c r="AW184" i="24"/>
  <c r="AX182" i="24"/>
  <c r="AW171" i="24"/>
  <c r="AX169" i="24"/>
  <c r="AX141" i="24"/>
  <c r="AW143" i="24"/>
  <c r="AW117" i="24"/>
  <c r="AX115" i="24"/>
  <c r="AW155" i="24"/>
  <c r="AX153" i="24"/>
  <c r="AX185" i="24"/>
  <c r="AW187" i="24"/>
  <c r="AX118" i="24"/>
  <c r="AW120" i="24"/>
  <c r="BE215" i="14"/>
  <c r="BB146" i="23" l="1"/>
  <c r="BC109" i="23"/>
  <c r="BB147" i="23"/>
  <c r="BB124" i="23"/>
  <c r="BC110" i="23"/>
  <c r="BB144" i="23"/>
  <c r="BC107" i="23"/>
  <c r="BB145" i="23"/>
  <c r="BC108" i="23"/>
  <c r="BE289" i="14"/>
  <c r="BE287" i="14"/>
  <c r="BE288" i="14"/>
  <c r="AY149" i="19"/>
  <c r="BA58" i="26"/>
  <c r="BA88" i="26" s="1"/>
  <c r="BA96" i="19"/>
  <c r="BB63" i="8"/>
  <c r="AZ136" i="19"/>
  <c r="AZ137" i="19"/>
  <c r="AZ135" i="19"/>
  <c r="BE330" i="14"/>
  <c r="BE326" i="14"/>
  <c r="BE322" i="14"/>
  <c r="BE329" i="14"/>
  <c r="BE325" i="14"/>
  <c r="BE321" i="14"/>
  <c r="BE324" i="14"/>
  <c r="BE318" i="14"/>
  <c r="BE323" i="14"/>
  <c r="BE331" i="14"/>
  <c r="BE328" i="14"/>
  <c r="BE320" i="14"/>
  <c r="BE327" i="14"/>
  <c r="BE319" i="14"/>
  <c r="AY150" i="19"/>
  <c r="AZ137" i="23"/>
  <c r="BA103" i="23"/>
  <c r="BE228" i="14"/>
  <c r="AX155" i="24"/>
  <c r="AY153" i="24"/>
  <c r="AX184" i="24"/>
  <c r="AY182" i="24"/>
  <c r="AX129" i="24"/>
  <c r="AY127" i="24"/>
  <c r="AX146" i="24"/>
  <c r="AY144" i="24"/>
  <c r="AX126" i="24"/>
  <c r="AY124" i="24"/>
  <c r="AX149" i="24"/>
  <c r="AY147" i="24"/>
  <c r="AX120" i="24"/>
  <c r="AY118" i="24"/>
  <c r="AX143" i="24"/>
  <c r="AY141" i="24"/>
  <c r="AY150" i="24"/>
  <c r="AX152" i="24"/>
  <c r="AY166" i="24"/>
  <c r="AX168" i="24"/>
  <c r="AX162" i="24"/>
  <c r="AY160" i="24"/>
  <c r="AY115" i="24"/>
  <c r="AX117" i="24"/>
  <c r="AX171" i="24"/>
  <c r="AY169" i="24"/>
  <c r="AY172" i="24"/>
  <c r="AX174" i="24"/>
  <c r="AY178" i="24"/>
  <c r="AX180" i="24"/>
  <c r="BA102" i="23"/>
  <c r="BA123" i="23" s="1"/>
  <c r="BA136" i="23" s="1"/>
  <c r="AX133" i="24"/>
  <c r="AY131" i="24"/>
  <c r="AX177" i="24"/>
  <c r="AY175" i="24"/>
  <c r="AY134" i="24"/>
  <c r="AX136" i="24"/>
  <c r="AX159" i="24"/>
  <c r="AY157" i="24"/>
  <c r="AX187" i="24"/>
  <c r="AY185" i="24"/>
  <c r="AX123" i="24"/>
  <c r="AY121" i="24"/>
  <c r="BF215" i="14"/>
  <c r="BC144" i="23" l="1"/>
  <c r="BD107" i="23"/>
  <c r="BC146" i="23"/>
  <c r="BD109" i="23"/>
  <c r="BC145" i="23"/>
  <c r="BD108" i="23"/>
  <c r="BC147" i="23"/>
  <c r="BC124" i="23"/>
  <c r="BD110" i="23"/>
  <c r="BF289" i="14"/>
  <c r="BF288" i="14"/>
  <c r="BF287" i="14"/>
  <c r="AZ149" i="19"/>
  <c r="BB58" i="26"/>
  <c r="BB88" i="26" s="1"/>
  <c r="BB96" i="19"/>
  <c r="BC63" i="8"/>
  <c r="BA136" i="19"/>
  <c r="BA137" i="19"/>
  <c r="BA135" i="19"/>
  <c r="BF330" i="14"/>
  <c r="BF329" i="14"/>
  <c r="BF325" i="14"/>
  <c r="BF321" i="14"/>
  <c r="BF331" i="14"/>
  <c r="BF328" i="14"/>
  <c r="BF324" i="14"/>
  <c r="BF320" i="14"/>
  <c r="BF323" i="14"/>
  <c r="BF319" i="14"/>
  <c r="BF322" i="14"/>
  <c r="BF327" i="14"/>
  <c r="BF318" i="14"/>
  <c r="BF326" i="14"/>
  <c r="AZ150" i="19"/>
  <c r="BA137" i="23"/>
  <c r="BB103" i="23"/>
  <c r="BF228" i="14"/>
  <c r="AY123" i="24"/>
  <c r="AZ121" i="24"/>
  <c r="AZ157" i="24"/>
  <c r="AY159" i="24"/>
  <c r="AY177" i="24"/>
  <c r="AZ175" i="24"/>
  <c r="AZ141" i="24"/>
  <c r="AY143" i="24"/>
  <c r="AZ147" i="24"/>
  <c r="AY149" i="24"/>
  <c r="AZ144" i="24"/>
  <c r="AY146" i="24"/>
  <c r="AY184" i="24"/>
  <c r="AZ182" i="24"/>
  <c r="BB102" i="23"/>
  <c r="BB123" i="23" s="1"/>
  <c r="BB136" i="23" s="1"/>
  <c r="AY174" i="24"/>
  <c r="AZ172" i="24"/>
  <c r="AY117" i="24"/>
  <c r="AZ115" i="24"/>
  <c r="AZ166" i="24"/>
  <c r="AY168" i="24"/>
  <c r="AY187" i="24"/>
  <c r="AZ185" i="24"/>
  <c r="AZ131" i="24"/>
  <c r="AY133" i="24"/>
  <c r="AZ169" i="24"/>
  <c r="AY171" i="24"/>
  <c r="AY162" i="24"/>
  <c r="AZ160" i="24"/>
  <c r="AZ118" i="24"/>
  <c r="AY120" i="24"/>
  <c r="AY126" i="24"/>
  <c r="AZ124" i="24"/>
  <c r="AY129" i="24"/>
  <c r="AZ127" i="24"/>
  <c r="AY155" i="24"/>
  <c r="AZ153" i="24"/>
  <c r="AY136" i="24"/>
  <c r="AZ134" i="24"/>
  <c r="AY180" i="24"/>
  <c r="AZ178" i="24"/>
  <c r="AY152" i="24"/>
  <c r="AZ150" i="24"/>
  <c r="BG215" i="14"/>
  <c r="BD146" i="23" l="1"/>
  <c r="BE109" i="23"/>
  <c r="BD145" i="23"/>
  <c r="BE108" i="23"/>
  <c r="BD144" i="23"/>
  <c r="BE107" i="23"/>
  <c r="BD147" i="23"/>
  <c r="BD124" i="23"/>
  <c r="BE110" i="23"/>
  <c r="BG287" i="14"/>
  <c r="BG289" i="14"/>
  <c r="BG288" i="14"/>
  <c r="BA149" i="19"/>
  <c r="BC96" i="19"/>
  <c r="BC58" i="26"/>
  <c r="BC88" i="26" s="1"/>
  <c r="BD63" i="8"/>
  <c r="BB136" i="19"/>
  <c r="BB137" i="19"/>
  <c r="BB135" i="19"/>
  <c r="BG331" i="14"/>
  <c r="BG328" i="14"/>
  <c r="BG324" i="14"/>
  <c r="BG320" i="14"/>
  <c r="BG327" i="14"/>
  <c r="BG323" i="14"/>
  <c r="BG322" i="14"/>
  <c r="BG326" i="14"/>
  <c r="BG330" i="14"/>
  <c r="BG329" i="14"/>
  <c r="BG321" i="14"/>
  <c r="BG319" i="14"/>
  <c r="BG325" i="14"/>
  <c r="BG318" i="14"/>
  <c r="BA150" i="19"/>
  <c r="BB137" i="23"/>
  <c r="BC103" i="23"/>
  <c r="BG228" i="14"/>
  <c r="AZ152" i="24"/>
  <c r="BA150" i="24"/>
  <c r="AZ136" i="24"/>
  <c r="BA134" i="24"/>
  <c r="AZ129" i="24"/>
  <c r="BA127" i="24"/>
  <c r="AZ187" i="24"/>
  <c r="BA185" i="24"/>
  <c r="AZ117" i="24"/>
  <c r="BA115" i="24"/>
  <c r="BA118" i="24"/>
  <c r="AZ120" i="24"/>
  <c r="BA169" i="24"/>
  <c r="AZ171" i="24"/>
  <c r="BC102" i="23"/>
  <c r="BC123" i="23" s="1"/>
  <c r="BC136" i="23" s="1"/>
  <c r="BA144" i="24"/>
  <c r="AZ146" i="24"/>
  <c r="BA141" i="24"/>
  <c r="AZ143" i="24"/>
  <c r="AZ159" i="24"/>
  <c r="BA157" i="24"/>
  <c r="AZ180" i="24"/>
  <c r="BA178" i="24"/>
  <c r="BA153" i="24"/>
  <c r="AZ155" i="24"/>
  <c r="AZ126" i="24"/>
  <c r="BA124" i="24"/>
  <c r="AZ162" i="24"/>
  <c r="BA160" i="24"/>
  <c r="AZ174" i="24"/>
  <c r="BA172" i="24"/>
  <c r="BA182" i="24"/>
  <c r="AZ184" i="24"/>
  <c r="AZ177" i="24"/>
  <c r="BA175" i="24"/>
  <c r="AZ123" i="24"/>
  <c r="BA121" i="24"/>
  <c r="AZ133" i="24"/>
  <c r="BA131" i="24"/>
  <c r="BA166" i="24"/>
  <c r="AZ168" i="24"/>
  <c r="AZ149" i="24"/>
  <c r="BA147" i="24"/>
  <c r="BH215" i="14"/>
  <c r="BE145" i="23" l="1"/>
  <c r="BF108" i="23"/>
  <c r="BE144" i="23"/>
  <c r="BF107" i="23"/>
  <c r="BE146" i="23"/>
  <c r="BF109" i="23"/>
  <c r="BE147" i="23"/>
  <c r="BE124" i="23"/>
  <c r="BF110" i="23"/>
  <c r="BH289" i="14"/>
  <c r="BH287" i="14"/>
  <c r="BH288" i="14"/>
  <c r="BB149" i="19"/>
  <c r="BD96" i="19"/>
  <c r="BD58" i="26"/>
  <c r="BD88" i="26" s="1"/>
  <c r="BE63" i="8"/>
  <c r="BC136" i="19"/>
  <c r="BC137" i="19"/>
  <c r="BC135" i="19"/>
  <c r="BH331" i="14"/>
  <c r="BH327" i="14"/>
  <c r="BH323" i="14"/>
  <c r="BH326" i="14"/>
  <c r="BH322" i="14"/>
  <c r="BH330" i="14"/>
  <c r="BH329" i="14"/>
  <c r="BH321" i="14"/>
  <c r="BH319" i="14"/>
  <c r="BH328" i="14"/>
  <c r="BH320" i="14"/>
  <c r="BH318" i="14"/>
  <c r="BH325" i="14"/>
  <c r="BH324" i="14"/>
  <c r="BB150" i="19"/>
  <c r="BC137" i="23"/>
  <c r="BD103" i="23"/>
  <c r="BH228" i="14"/>
  <c r="BB147" i="24"/>
  <c r="BA149" i="24"/>
  <c r="BA133" i="24"/>
  <c r="BB131" i="24"/>
  <c r="BB175" i="24"/>
  <c r="BA177" i="24"/>
  <c r="BA174" i="24"/>
  <c r="BB172" i="24"/>
  <c r="BB124" i="24"/>
  <c r="BA126" i="24"/>
  <c r="BA180" i="24"/>
  <c r="BB178" i="24"/>
  <c r="BA187" i="24"/>
  <c r="BB185" i="24"/>
  <c r="BA136" i="24"/>
  <c r="BB134" i="24"/>
  <c r="BB141" i="24"/>
  <c r="BA143" i="24"/>
  <c r="BD102" i="23"/>
  <c r="BD123" i="23" s="1"/>
  <c r="BD136" i="23" s="1"/>
  <c r="BB118" i="24"/>
  <c r="BA120" i="24"/>
  <c r="BB121" i="24"/>
  <c r="BA123" i="24"/>
  <c r="BA162" i="24"/>
  <c r="BB160" i="24"/>
  <c r="BB157" i="24"/>
  <c r="BA159" i="24"/>
  <c r="BA117" i="24"/>
  <c r="BB115" i="24"/>
  <c r="BA129" i="24"/>
  <c r="BB127" i="24"/>
  <c r="BA152" i="24"/>
  <c r="BB150" i="24"/>
  <c r="BA168" i="24"/>
  <c r="BB166" i="24"/>
  <c r="BA184" i="24"/>
  <c r="BB182" i="24"/>
  <c r="BA155" i="24"/>
  <c r="BB153" i="24"/>
  <c r="BA146" i="24"/>
  <c r="BB144" i="24"/>
  <c r="BB169" i="24"/>
  <c r="BA171" i="24"/>
  <c r="BI215" i="14"/>
  <c r="BF144" i="23" l="1"/>
  <c r="BG107" i="23"/>
  <c r="BF146" i="23"/>
  <c r="BG109" i="23"/>
  <c r="BF145" i="23"/>
  <c r="BG108" i="23"/>
  <c r="BF147" i="23"/>
  <c r="BF124" i="23"/>
  <c r="BG110" i="23"/>
  <c r="BI287" i="14"/>
  <c r="BI289" i="14"/>
  <c r="BI288" i="14"/>
  <c r="BC149" i="19"/>
  <c r="BE96" i="19"/>
  <c r="BE58" i="26"/>
  <c r="BE88" i="26" s="1"/>
  <c r="BF63" i="8"/>
  <c r="BD137" i="19"/>
  <c r="BD136" i="19"/>
  <c r="BD135" i="19"/>
  <c r="BI330" i="14"/>
  <c r="BI326" i="14"/>
  <c r="BI322" i="14"/>
  <c r="BI329" i="14"/>
  <c r="BI325" i="14"/>
  <c r="BI321" i="14"/>
  <c r="BI328" i="14"/>
  <c r="BI320" i="14"/>
  <c r="BI318" i="14"/>
  <c r="BI324" i="14"/>
  <c r="BI331" i="14"/>
  <c r="BI327" i="14"/>
  <c r="BI323" i="14"/>
  <c r="BI319" i="14"/>
  <c r="BC150" i="19"/>
  <c r="BD137" i="23"/>
  <c r="BE103" i="23"/>
  <c r="BI228" i="14"/>
  <c r="BB155" i="24"/>
  <c r="BC153" i="24"/>
  <c r="BC166" i="24"/>
  <c r="BB168" i="24"/>
  <c r="BB129" i="24"/>
  <c r="BC127" i="24"/>
  <c r="BE102" i="23"/>
  <c r="BE123" i="23" s="1"/>
  <c r="BE136" i="23" s="1"/>
  <c r="BC134" i="24"/>
  <c r="BB136" i="24"/>
  <c r="BB180" i="24"/>
  <c r="BC178" i="24"/>
  <c r="BC172" i="24"/>
  <c r="BB174" i="24"/>
  <c r="BC131" i="24"/>
  <c r="BB133" i="24"/>
  <c r="BC169" i="24"/>
  <c r="BB171" i="24"/>
  <c r="BC157" i="24"/>
  <c r="BB159" i="24"/>
  <c r="BC121" i="24"/>
  <c r="BB123" i="24"/>
  <c r="BC144" i="24"/>
  <c r="BB146" i="24"/>
  <c r="BC182" i="24"/>
  <c r="BB184" i="24"/>
  <c r="BC150" i="24"/>
  <c r="BB152" i="24"/>
  <c r="BC115" i="24"/>
  <c r="BB117" i="24"/>
  <c r="BC160" i="24"/>
  <c r="BB162" i="24"/>
  <c r="BC185" i="24"/>
  <c r="BB187" i="24"/>
  <c r="BB120" i="24"/>
  <c r="BC118" i="24"/>
  <c r="BB143" i="24"/>
  <c r="BC141" i="24"/>
  <c r="BB126" i="24"/>
  <c r="BC124" i="24"/>
  <c r="BC175" i="24"/>
  <c r="BB177" i="24"/>
  <c r="BB149" i="24"/>
  <c r="BC147" i="24"/>
  <c r="BG146" i="23" l="1"/>
  <c r="BH109" i="23"/>
  <c r="BG145" i="23"/>
  <c r="BH108" i="23"/>
  <c r="BG144" i="23"/>
  <c r="BH107" i="23"/>
  <c r="BG147" i="23"/>
  <c r="BG124" i="23"/>
  <c r="BH110" i="23"/>
  <c r="BD149" i="19"/>
  <c r="BF58" i="26"/>
  <c r="BF88" i="26" s="1"/>
  <c r="BF96" i="19"/>
  <c r="BG63" i="8"/>
  <c r="BE136" i="19"/>
  <c r="BE137" i="19"/>
  <c r="BE135" i="19"/>
  <c r="BD150" i="19"/>
  <c r="BE137" i="23"/>
  <c r="BF103" i="23"/>
  <c r="BD147" i="24"/>
  <c r="BC149" i="24"/>
  <c r="BC126" i="24"/>
  <c r="BD124" i="24"/>
  <c r="BD118" i="24"/>
  <c r="BC120" i="24"/>
  <c r="BD178" i="24"/>
  <c r="BC180" i="24"/>
  <c r="BC177" i="24"/>
  <c r="BD175" i="24"/>
  <c r="BD160" i="24"/>
  <c r="BC162" i="24"/>
  <c r="BC152" i="24"/>
  <c r="BD150" i="24"/>
  <c r="BD144" i="24"/>
  <c r="BC146" i="24"/>
  <c r="BD157" i="24"/>
  <c r="BC159" i="24"/>
  <c r="BD131" i="24"/>
  <c r="BC133" i="24"/>
  <c r="BF102" i="23"/>
  <c r="BF123" i="23" s="1"/>
  <c r="BF136" i="23" s="1"/>
  <c r="BC168" i="24"/>
  <c r="BD166" i="24"/>
  <c r="BD141" i="24"/>
  <c r="BC143" i="24"/>
  <c r="BC129" i="24"/>
  <c r="BD127" i="24"/>
  <c r="BC155" i="24"/>
  <c r="BD153" i="24"/>
  <c r="BD185" i="24"/>
  <c r="BC187" i="24"/>
  <c r="BC117" i="24"/>
  <c r="BD115" i="24"/>
  <c r="BD182" i="24"/>
  <c r="BC184" i="24"/>
  <c r="BC123" i="24"/>
  <c r="BD121" i="24"/>
  <c r="BD169" i="24"/>
  <c r="BC171" i="24"/>
  <c r="BC174" i="24"/>
  <c r="BD172" i="24"/>
  <c r="BD134" i="24"/>
  <c r="BC136" i="24"/>
  <c r="BI107" i="23" l="1"/>
  <c r="BI144" i="23" s="1"/>
  <c r="BH144" i="23"/>
  <c r="BI109" i="23"/>
  <c r="BI146" i="23" s="1"/>
  <c r="BH146" i="23"/>
  <c r="BI108" i="23"/>
  <c r="BI145" i="23" s="1"/>
  <c r="BH145" i="23"/>
  <c r="BI110" i="23"/>
  <c r="BH147" i="23"/>
  <c r="BH124" i="23"/>
  <c r="BE149" i="19"/>
  <c r="BF137" i="19"/>
  <c r="BF136" i="19"/>
  <c r="BF135" i="19"/>
  <c r="BG96" i="19"/>
  <c r="BG58" i="26"/>
  <c r="BG88" i="26" s="1"/>
  <c r="BH63" i="8"/>
  <c r="BE150" i="19"/>
  <c r="BF137" i="23"/>
  <c r="BG103" i="23"/>
  <c r="BD129" i="24"/>
  <c r="BE127" i="24"/>
  <c r="BE166" i="24"/>
  <c r="BD168" i="24"/>
  <c r="BD126" i="24"/>
  <c r="BE124" i="24"/>
  <c r="BE134" i="24"/>
  <c r="BD136" i="24"/>
  <c r="BE169" i="24"/>
  <c r="BD171" i="24"/>
  <c r="BD184" i="24"/>
  <c r="BE182" i="24"/>
  <c r="BD187" i="24"/>
  <c r="BE185" i="24"/>
  <c r="BD133" i="24"/>
  <c r="BE131" i="24"/>
  <c r="BE144" i="24"/>
  <c r="BD146" i="24"/>
  <c r="BE160" i="24"/>
  <c r="BD162" i="24"/>
  <c r="BD180" i="24"/>
  <c r="BE178" i="24"/>
  <c r="BD174" i="24"/>
  <c r="BE172" i="24"/>
  <c r="BD123" i="24"/>
  <c r="BE121" i="24"/>
  <c r="BD117" i="24"/>
  <c r="BE115" i="24"/>
  <c r="BD155" i="24"/>
  <c r="BE153" i="24"/>
  <c r="BG102" i="23"/>
  <c r="BG123" i="23" s="1"/>
  <c r="BG136" i="23" s="1"/>
  <c r="BD152" i="24"/>
  <c r="BE150" i="24"/>
  <c r="BD177" i="24"/>
  <c r="BE175" i="24"/>
  <c r="BD143" i="24"/>
  <c r="BE141" i="24"/>
  <c r="BD159" i="24"/>
  <c r="BE157" i="24"/>
  <c r="BD120" i="24"/>
  <c r="BE118" i="24"/>
  <c r="BD149" i="24"/>
  <c r="BE147" i="24"/>
  <c r="BI147" i="23" l="1"/>
  <c r="BI124" i="23"/>
  <c r="BF149" i="19"/>
  <c r="BG137" i="19"/>
  <c r="BG136" i="19"/>
  <c r="BG135" i="19"/>
  <c r="BI63" i="8"/>
  <c r="BH58" i="26"/>
  <c r="BH88" i="26" s="1"/>
  <c r="BH96" i="19"/>
  <c r="BF150" i="19"/>
  <c r="BG137" i="23"/>
  <c r="BH103" i="23"/>
  <c r="BF147" i="24"/>
  <c r="BE149" i="24"/>
  <c r="BF157" i="24"/>
  <c r="BE159" i="24"/>
  <c r="BF175" i="24"/>
  <c r="BE177" i="24"/>
  <c r="BH102" i="23"/>
  <c r="BH123" i="23" s="1"/>
  <c r="BH136" i="23" s="1"/>
  <c r="BE117" i="24"/>
  <c r="BF115" i="24"/>
  <c r="BF172" i="24"/>
  <c r="BE174" i="24"/>
  <c r="BF131" i="24"/>
  <c r="BE133" i="24"/>
  <c r="BF182" i="24"/>
  <c r="BE184" i="24"/>
  <c r="BF160" i="24"/>
  <c r="BE162" i="24"/>
  <c r="BF134" i="24"/>
  <c r="BE136" i="24"/>
  <c r="BE168" i="24"/>
  <c r="BF166" i="24"/>
  <c r="BE120" i="24"/>
  <c r="BF118" i="24"/>
  <c r="BF141" i="24"/>
  <c r="BE143" i="24"/>
  <c r="BF150" i="24"/>
  <c r="BE152" i="24"/>
  <c r="BE155" i="24"/>
  <c r="BF153" i="24"/>
  <c r="BF121" i="24"/>
  <c r="BE123" i="24"/>
  <c r="BF178" i="24"/>
  <c r="BE180" i="24"/>
  <c r="BF185" i="24"/>
  <c r="BE187" i="24"/>
  <c r="BF124" i="24"/>
  <c r="BE126" i="24"/>
  <c r="BE129" i="24"/>
  <c r="BF127" i="24"/>
  <c r="BE146" i="24"/>
  <c r="BF144" i="24"/>
  <c r="BE171" i="24"/>
  <c r="BF169" i="24"/>
  <c r="BG149" i="19" l="1"/>
  <c r="BH137" i="19"/>
  <c r="BH136" i="19"/>
  <c r="BH135" i="19"/>
  <c r="BI96" i="19"/>
  <c r="BI58" i="26"/>
  <c r="BI88" i="26" s="1"/>
  <c r="BG150" i="19"/>
  <c r="BH137" i="23"/>
  <c r="BI103" i="23"/>
  <c r="BI137" i="23" s="1"/>
  <c r="BG169" i="24"/>
  <c r="BF171" i="24"/>
  <c r="BF129" i="24"/>
  <c r="BG127" i="24"/>
  <c r="BF120" i="24"/>
  <c r="BG118" i="24"/>
  <c r="BG185" i="24"/>
  <c r="BF187" i="24"/>
  <c r="BF123" i="24"/>
  <c r="BG121" i="24"/>
  <c r="BF152" i="24"/>
  <c r="BG150" i="24"/>
  <c r="BG134" i="24"/>
  <c r="BF136" i="24"/>
  <c r="BF184" i="24"/>
  <c r="BG182" i="24"/>
  <c r="BG172" i="24"/>
  <c r="BF174" i="24"/>
  <c r="BI102" i="23"/>
  <c r="BI123" i="23" s="1"/>
  <c r="BI136" i="23" s="1"/>
  <c r="BF159" i="24"/>
  <c r="BG157" i="24"/>
  <c r="BF146" i="24"/>
  <c r="BG144" i="24"/>
  <c r="BG153" i="24"/>
  <c r="BF155" i="24"/>
  <c r="BF168" i="24"/>
  <c r="BG166" i="24"/>
  <c r="BF117" i="24"/>
  <c r="BG115" i="24"/>
  <c r="BG124" i="24"/>
  <c r="BF126" i="24"/>
  <c r="BF180" i="24"/>
  <c r="BG178" i="24"/>
  <c r="BG141" i="24"/>
  <c r="BF143" i="24"/>
  <c r="BG160" i="24"/>
  <c r="BF162" i="24"/>
  <c r="BF133" i="24"/>
  <c r="BG131" i="24"/>
  <c r="BF177" i="24"/>
  <c r="BG175" i="24"/>
  <c r="BF149" i="24"/>
  <c r="BG147" i="24"/>
  <c r="BH149" i="19" l="1"/>
  <c r="BI137" i="19"/>
  <c r="BI150" i="19" s="1"/>
  <c r="BI136" i="19"/>
  <c r="BI135" i="19"/>
  <c r="BH150" i="19"/>
  <c r="BH147" i="24"/>
  <c r="BG149" i="24"/>
  <c r="BG133" i="24"/>
  <c r="BH131" i="24"/>
  <c r="BH166" i="24"/>
  <c r="BG168" i="24"/>
  <c r="BG146" i="24"/>
  <c r="BH144" i="24"/>
  <c r="BG184" i="24"/>
  <c r="BH182" i="24"/>
  <c r="BG152" i="24"/>
  <c r="BH150" i="24"/>
  <c r="BG129" i="24"/>
  <c r="BH127" i="24"/>
  <c r="BG143" i="24"/>
  <c r="BH141" i="24"/>
  <c r="BH124" i="24"/>
  <c r="BG126" i="24"/>
  <c r="BH185" i="24"/>
  <c r="BG187" i="24"/>
  <c r="BH175" i="24"/>
  <c r="BG177" i="24"/>
  <c r="BG180" i="24"/>
  <c r="BH178" i="24"/>
  <c r="BH115" i="24"/>
  <c r="BG117" i="24"/>
  <c r="BH157" i="24"/>
  <c r="BG159" i="24"/>
  <c r="BG123" i="24"/>
  <c r="BH121" i="24"/>
  <c r="BG120" i="24"/>
  <c r="BH118" i="24"/>
  <c r="BH160" i="24"/>
  <c r="BG162" i="24"/>
  <c r="BH153" i="24"/>
  <c r="BG155" i="24"/>
  <c r="BH172" i="24"/>
  <c r="BG174" i="24"/>
  <c r="BG136" i="24"/>
  <c r="BH134" i="24"/>
  <c r="BH169" i="24"/>
  <c r="BG171" i="24"/>
  <c r="U286" i="14"/>
  <c r="Y286" i="14"/>
  <c r="AC286" i="14"/>
  <c r="AG286" i="14"/>
  <c r="AK286" i="14"/>
  <c r="AO286" i="14"/>
  <c r="AS286" i="14"/>
  <c r="AW286" i="14"/>
  <c r="BA286" i="14"/>
  <c r="BE286" i="14"/>
  <c r="AD286" i="14"/>
  <c r="AL286" i="14"/>
  <c r="AT286" i="14"/>
  <c r="BB286" i="14"/>
  <c r="BF286" i="14"/>
  <c r="AI286" i="14"/>
  <c r="AY286" i="14"/>
  <c r="X286" i="14"/>
  <c r="AJ286" i="14"/>
  <c r="AR286" i="14"/>
  <c r="AZ286" i="14"/>
  <c r="V286" i="14"/>
  <c r="Z286" i="14"/>
  <c r="AH286" i="14"/>
  <c r="AP286" i="14"/>
  <c r="AX286" i="14"/>
  <c r="BI286" i="14"/>
  <c r="AQ286" i="14"/>
  <c r="BC286" i="14"/>
  <c r="AB286" i="14"/>
  <c r="AN286" i="14"/>
  <c r="BD286" i="14"/>
  <c r="W286" i="14"/>
  <c r="AA286" i="14"/>
  <c r="AE286" i="14"/>
  <c r="AM286" i="14"/>
  <c r="AU286" i="14"/>
  <c r="BG286" i="14"/>
  <c r="AF286" i="14"/>
  <c r="AV286" i="14"/>
  <c r="BH286" i="14"/>
  <c r="BI149" i="19" l="1"/>
  <c r="AG311" i="14"/>
  <c r="AG307" i="14"/>
  <c r="AG309" i="14"/>
  <c r="AG304" i="14"/>
  <c r="AG306" i="14"/>
  <c r="AG313" i="14"/>
  <c r="AG316" i="14"/>
  <c r="AG308" i="14"/>
  <c r="AG303" i="14"/>
  <c r="AG305" i="14"/>
  <c r="AG310" i="14"/>
  <c r="AG312" i="14"/>
  <c r="AG315" i="14"/>
  <c r="AG314" i="14"/>
  <c r="BD313" i="14"/>
  <c r="BD308" i="14"/>
  <c r="BD315" i="14"/>
  <c r="BD304" i="14"/>
  <c r="BD309" i="14"/>
  <c r="BD314" i="14"/>
  <c r="BD307" i="14"/>
  <c r="BD310" i="14"/>
  <c r="BD303" i="14"/>
  <c r="BD305" i="14"/>
  <c r="BD311" i="14"/>
  <c r="BD312" i="14"/>
  <c r="BD316" i="14"/>
  <c r="BD306" i="14"/>
  <c r="AR313" i="14"/>
  <c r="AR314" i="14"/>
  <c r="AR308" i="14"/>
  <c r="AR307" i="14"/>
  <c r="AR316" i="14"/>
  <c r="AR305" i="14"/>
  <c r="AR306" i="14"/>
  <c r="AR312" i="14"/>
  <c r="AR309" i="14"/>
  <c r="AR311" i="14"/>
  <c r="AR304" i="14"/>
  <c r="AR315" i="14"/>
  <c r="AR303" i="14"/>
  <c r="AR310" i="14"/>
  <c r="AL315" i="14"/>
  <c r="AL316" i="14"/>
  <c r="AL312" i="14"/>
  <c r="AL304" i="14"/>
  <c r="AL311" i="14"/>
  <c r="AL309" i="14"/>
  <c r="AL308" i="14"/>
  <c r="AL313" i="14"/>
  <c r="AL303" i="14"/>
  <c r="AL314" i="14"/>
  <c r="AL307" i="14"/>
  <c r="AL310" i="14"/>
  <c r="AL306" i="14"/>
  <c r="AL305" i="14"/>
  <c r="AF313" i="14"/>
  <c r="AF314" i="14"/>
  <c r="AF304" i="14"/>
  <c r="AF310" i="14"/>
  <c r="AF316" i="14"/>
  <c r="AF306" i="14"/>
  <c r="AF308" i="14"/>
  <c r="AF309" i="14"/>
  <c r="AF305" i="14"/>
  <c r="AF315" i="14"/>
  <c r="AF311" i="14"/>
  <c r="AF303" i="14"/>
  <c r="AF312" i="14"/>
  <c r="AF307" i="14"/>
  <c r="AE306" i="14"/>
  <c r="AE305" i="14"/>
  <c r="AE309" i="14"/>
  <c r="AE308" i="14"/>
  <c r="AE311" i="14"/>
  <c r="AE314" i="14"/>
  <c r="AE315" i="14"/>
  <c r="AE303" i="14"/>
  <c r="AE307" i="14"/>
  <c r="AE310" i="14"/>
  <c r="AE312" i="14"/>
  <c r="AE316" i="14"/>
  <c r="AE313" i="14"/>
  <c r="AE304" i="14"/>
  <c r="AN313" i="14"/>
  <c r="AN314" i="14"/>
  <c r="AN310" i="14"/>
  <c r="AN311" i="14"/>
  <c r="AN308" i="14"/>
  <c r="AN303" i="14"/>
  <c r="AN312" i="14"/>
  <c r="AN309" i="14"/>
  <c r="AN305" i="14"/>
  <c r="AN307" i="14"/>
  <c r="AN306" i="14"/>
  <c r="AN315" i="14"/>
  <c r="AN316" i="14"/>
  <c r="AN304" i="14"/>
  <c r="BI316" i="14"/>
  <c r="BI311" i="14"/>
  <c r="BI304" i="14"/>
  <c r="BI312" i="14"/>
  <c r="BI313" i="14"/>
  <c r="BI309" i="14"/>
  <c r="BI306" i="14"/>
  <c r="BI308" i="14"/>
  <c r="BI314" i="14"/>
  <c r="BI307" i="14"/>
  <c r="BI315" i="14"/>
  <c r="BI310" i="14"/>
  <c r="BI303" i="14"/>
  <c r="BI305" i="14"/>
  <c r="Z309" i="14"/>
  <c r="Z305" i="14"/>
  <c r="Z304" i="14"/>
  <c r="Z306" i="14"/>
  <c r="Z303" i="14"/>
  <c r="Z315" i="14"/>
  <c r="Z312" i="14"/>
  <c r="Z314" i="14"/>
  <c r="Z308" i="14"/>
  <c r="Z316" i="14"/>
  <c r="Z311" i="14"/>
  <c r="Z307" i="14"/>
  <c r="Z310" i="14"/>
  <c r="Z313" i="14"/>
  <c r="AJ313" i="14"/>
  <c r="AJ314" i="14"/>
  <c r="AJ310" i="14"/>
  <c r="AJ303" i="14"/>
  <c r="AJ306" i="14"/>
  <c r="AJ311" i="14"/>
  <c r="AJ304" i="14"/>
  <c r="AJ312" i="14"/>
  <c r="AJ309" i="14"/>
  <c r="AJ315" i="14"/>
  <c r="AJ308" i="14"/>
  <c r="AJ307" i="14"/>
  <c r="AJ316" i="14"/>
  <c r="AJ305" i="14"/>
  <c r="BF315" i="14"/>
  <c r="BF316" i="14"/>
  <c r="BF306" i="14"/>
  <c r="BF309" i="14"/>
  <c r="BF311" i="14"/>
  <c r="BF307" i="14"/>
  <c r="BF305" i="14"/>
  <c r="BF314" i="14"/>
  <c r="BF303" i="14"/>
  <c r="BF308" i="14"/>
  <c r="BF313" i="14"/>
  <c r="BF310" i="14"/>
  <c r="BF312" i="14"/>
  <c r="BF304" i="14"/>
  <c r="AD314" i="14"/>
  <c r="AD307" i="14"/>
  <c r="AD312" i="14"/>
  <c r="AD315" i="14"/>
  <c r="AD313" i="14"/>
  <c r="AD309" i="14"/>
  <c r="AD303" i="14"/>
  <c r="AD305" i="14"/>
  <c r="AD310" i="14"/>
  <c r="AD306" i="14"/>
  <c r="AD304" i="14"/>
  <c r="AD316" i="14"/>
  <c r="AD308" i="14"/>
  <c r="AD311" i="14"/>
  <c r="AS316" i="14"/>
  <c r="AS314" i="14"/>
  <c r="AS309" i="14"/>
  <c r="AS306" i="14"/>
  <c r="AS304" i="14"/>
  <c r="AS312" i="14"/>
  <c r="AS310" i="14"/>
  <c r="AS307" i="14"/>
  <c r="AS315" i="14"/>
  <c r="AS308" i="14"/>
  <c r="AS303" i="14"/>
  <c r="AS313" i="14"/>
  <c r="AS305" i="14"/>
  <c r="AS311" i="14"/>
  <c r="AC316" i="14"/>
  <c r="AC304" i="14"/>
  <c r="AC311" i="14"/>
  <c r="AC313" i="14"/>
  <c r="AC309" i="14"/>
  <c r="AC308" i="14"/>
  <c r="AC306" i="14"/>
  <c r="AC303" i="14"/>
  <c r="AC314" i="14"/>
  <c r="AC312" i="14"/>
  <c r="AC315" i="14"/>
  <c r="AC305" i="14"/>
  <c r="AC310" i="14"/>
  <c r="AC307" i="14"/>
  <c r="AV313" i="14"/>
  <c r="AV314" i="14"/>
  <c r="AV304" i="14"/>
  <c r="AV303" i="14"/>
  <c r="AV309" i="14"/>
  <c r="AV305" i="14"/>
  <c r="AV316" i="14"/>
  <c r="AV315" i="14"/>
  <c r="AV311" i="14"/>
  <c r="AV306" i="14"/>
  <c r="AV312" i="14"/>
  <c r="AV308" i="14"/>
  <c r="AV307" i="14"/>
  <c r="AV310" i="14"/>
  <c r="AQ314" i="14"/>
  <c r="AQ315" i="14"/>
  <c r="AQ311" i="14"/>
  <c r="AQ307" i="14"/>
  <c r="AQ313" i="14"/>
  <c r="AQ304" i="14"/>
  <c r="AQ309" i="14"/>
  <c r="AQ310" i="14"/>
  <c r="AQ316" i="14"/>
  <c r="AQ305" i="14"/>
  <c r="AQ312" i="14"/>
  <c r="AQ308" i="14"/>
  <c r="AQ303" i="14"/>
  <c r="AQ306" i="14"/>
  <c r="AI314" i="14"/>
  <c r="AI315" i="14"/>
  <c r="AI305" i="14"/>
  <c r="AI303" i="14"/>
  <c r="AI308" i="14"/>
  <c r="AI306" i="14"/>
  <c r="AI309" i="14"/>
  <c r="AI311" i="14"/>
  <c r="AI316" i="14"/>
  <c r="AI307" i="14"/>
  <c r="AI310" i="14"/>
  <c r="AI312" i="14"/>
  <c r="AI304" i="14"/>
  <c r="AI313" i="14"/>
  <c r="BG314" i="14"/>
  <c r="BG315" i="14"/>
  <c r="BG311" i="14"/>
  <c r="BG303" i="14"/>
  <c r="BG310" i="14"/>
  <c r="BG316" i="14"/>
  <c r="BG305" i="14"/>
  <c r="BG307" i="14"/>
  <c r="BG313" i="14"/>
  <c r="BG312" i="14"/>
  <c r="BG308" i="14"/>
  <c r="BG309" i="14"/>
  <c r="BG306" i="14"/>
  <c r="BG304" i="14"/>
  <c r="AO316" i="14"/>
  <c r="AO308" i="14"/>
  <c r="AO307" i="14"/>
  <c r="AO314" i="14"/>
  <c r="AO313" i="14"/>
  <c r="AO312" i="14"/>
  <c r="AO304" i="14"/>
  <c r="AO303" i="14"/>
  <c r="AO315" i="14"/>
  <c r="AO310" i="14"/>
  <c r="AO311" i="14"/>
  <c r="AO306" i="14"/>
  <c r="AO305" i="14"/>
  <c r="AO309" i="14"/>
  <c r="AM314" i="14"/>
  <c r="AM315" i="14"/>
  <c r="AM312" i="14"/>
  <c r="AM307" i="14"/>
  <c r="AM303" i="14"/>
  <c r="AM311" i="14"/>
  <c r="AM316" i="14"/>
  <c r="AM305" i="14"/>
  <c r="AM304" i="14"/>
  <c r="AM310" i="14"/>
  <c r="AM306" i="14"/>
  <c r="AM308" i="14"/>
  <c r="AM313" i="14"/>
  <c r="AM309" i="14"/>
  <c r="AH315" i="14"/>
  <c r="AH316" i="14"/>
  <c r="AH306" i="14"/>
  <c r="AH311" i="14"/>
  <c r="AH313" i="14"/>
  <c r="AH309" i="14"/>
  <c r="AH314" i="14"/>
  <c r="AH307" i="14"/>
  <c r="AH305" i="14"/>
  <c r="AH304" i="14"/>
  <c r="AH308" i="14"/>
  <c r="AH310" i="14"/>
  <c r="AH312" i="14"/>
  <c r="AH303" i="14"/>
  <c r="AW316" i="14"/>
  <c r="AW313" i="14"/>
  <c r="AW303" i="14"/>
  <c r="AW314" i="14"/>
  <c r="AW311" i="14"/>
  <c r="AW312" i="14"/>
  <c r="AW308" i="14"/>
  <c r="AW306" i="14"/>
  <c r="AW307" i="14"/>
  <c r="AW305" i="14"/>
  <c r="AW315" i="14"/>
  <c r="AW304" i="14"/>
  <c r="AW309" i="14"/>
  <c r="AW310" i="14"/>
  <c r="AA314" i="14"/>
  <c r="AA310" i="14"/>
  <c r="AA306" i="14"/>
  <c r="AA308" i="14"/>
  <c r="AA311" i="14"/>
  <c r="AA315" i="14"/>
  <c r="AA316" i="14"/>
  <c r="AA313" i="14"/>
  <c r="AA309" i="14"/>
  <c r="AA305" i="14"/>
  <c r="AA312" i="14"/>
  <c r="AA307" i="14"/>
  <c r="AA303" i="14"/>
  <c r="AA304" i="14"/>
  <c r="AB310" i="14"/>
  <c r="AB305" i="14"/>
  <c r="AB315" i="14"/>
  <c r="AB303" i="14"/>
  <c r="AB307" i="14"/>
  <c r="AB313" i="14"/>
  <c r="AB306" i="14"/>
  <c r="AB312" i="14"/>
  <c r="AB314" i="14"/>
  <c r="AB316" i="14"/>
  <c r="AB309" i="14"/>
  <c r="AB308" i="14"/>
  <c r="AB304" i="14"/>
  <c r="AB311" i="14"/>
  <c r="AX315" i="14"/>
  <c r="AX316" i="14"/>
  <c r="AX306" i="14"/>
  <c r="AX310" i="14"/>
  <c r="AX311" i="14"/>
  <c r="AX307" i="14"/>
  <c r="AX309" i="14"/>
  <c r="AX314" i="14"/>
  <c r="AX313" i="14"/>
  <c r="AX305" i="14"/>
  <c r="AX304" i="14"/>
  <c r="AX303" i="14"/>
  <c r="AX308" i="14"/>
  <c r="AX312" i="14"/>
  <c r="V311" i="14"/>
  <c r="V310" i="14"/>
  <c r="V307" i="14"/>
  <c r="V313" i="14"/>
  <c r="V315" i="14"/>
  <c r="V309" i="14"/>
  <c r="V306" i="14"/>
  <c r="V305" i="14"/>
  <c r="V314" i="14"/>
  <c r="V316" i="14"/>
  <c r="V308" i="14"/>
  <c r="V304" i="14"/>
  <c r="V303" i="14"/>
  <c r="V312" i="14"/>
  <c r="X312" i="14"/>
  <c r="X310" i="14"/>
  <c r="X308" i="14"/>
  <c r="X315" i="14"/>
  <c r="X316" i="14"/>
  <c r="X313" i="14"/>
  <c r="X309" i="14"/>
  <c r="X304" i="14"/>
  <c r="X306" i="14"/>
  <c r="X307" i="14"/>
  <c r="X314" i="14"/>
  <c r="X305" i="14"/>
  <c r="X303" i="14"/>
  <c r="X311" i="14"/>
  <c r="BB315" i="14"/>
  <c r="BB316" i="14"/>
  <c r="BB303" i="14"/>
  <c r="BB305" i="14"/>
  <c r="BB314" i="14"/>
  <c r="BB309" i="14"/>
  <c r="BB306" i="14"/>
  <c r="BB304" i="14"/>
  <c r="BB307" i="14"/>
  <c r="BB312" i="14"/>
  <c r="BB311" i="14"/>
  <c r="BB313" i="14"/>
  <c r="BB308" i="14"/>
  <c r="BB310" i="14"/>
  <c r="BE316" i="14"/>
  <c r="BE311" i="14"/>
  <c r="BE307" i="14"/>
  <c r="BE306" i="14"/>
  <c r="BE314" i="14"/>
  <c r="BE305" i="14"/>
  <c r="BE312" i="14"/>
  <c r="BE313" i="14"/>
  <c r="BE303" i="14"/>
  <c r="BE315" i="14"/>
  <c r="BE310" i="14"/>
  <c r="BE308" i="14"/>
  <c r="BE304" i="14"/>
  <c r="BE309" i="14"/>
  <c r="Y311" i="14"/>
  <c r="Y309" i="14"/>
  <c r="Y307" i="14"/>
  <c r="Y303" i="14"/>
  <c r="Y304" i="14"/>
  <c r="Y313" i="14"/>
  <c r="Y315" i="14"/>
  <c r="Y310" i="14"/>
  <c r="Y314" i="14"/>
  <c r="Y305" i="14"/>
  <c r="Y306" i="14"/>
  <c r="Y316" i="14"/>
  <c r="Y312" i="14"/>
  <c r="Y308" i="14"/>
  <c r="BH313" i="14"/>
  <c r="BH308" i="14"/>
  <c r="BH310" i="14"/>
  <c r="BH303" i="14"/>
  <c r="BH307" i="14"/>
  <c r="BH309" i="14"/>
  <c r="BH314" i="14"/>
  <c r="BH304" i="14"/>
  <c r="BH316" i="14"/>
  <c r="BH311" i="14"/>
  <c r="BH306" i="14"/>
  <c r="BH312" i="14"/>
  <c r="BH305" i="14"/>
  <c r="BH315" i="14"/>
  <c r="AU314" i="14"/>
  <c r="AU315" i="14"/>
  <c r="AU303" i="14"/>
  <c r="AU311" i="14"/>
  <c r="AU304" i="14"/>
  <c r="AU310" i="14"/>
  <c r="AU306" i="14"/>
  <c r="AU307" i="14"/>
  <c r="AU312" i="14"/>
  <c r="AU313" i="14"/>
  <c r="AU305" i="14"/>
  <c r="AU309" i="14"/>
  <c r="AU308" i="14"/>
  <c r="AU316" i="14"/>
  <c r="W307" i="14"/>
  <c r="W305" i="14"/>
  <c r="W309" i="14"/>
  <c r="W308" i="14"/>
  <c r="W314" i="14"/>
  <c r="W310" i="14"/>
  <c r="W313" i="14"/>
  <c r="W304" i="14"/>
  <c r="W312" i="14"/>
  <c r="W315" i="14"/>
  <c r="W306" i="14"/>
  <c r="W316" i="14"/>
  <c r="W311" i="14"/>
  <c r="W303" i="14"/>
  <c r="BC314" i="14"/>
  <c r="BC315" i="14"/>
  <c r="BC305" i="14"/>
  <c r="BC307" i="14"/>
  <c r="BC311" i="14"/>
  <c r="BC316" i="14"/>
  <c r="BC304" i="14"/>
  <c r="BC303" i="14"/>
  <c r="BC310" i="14"/>
  <c r="BC308" i="14"/>
  <c r="BC312" i="14"/>
  <c r="BC309" i="14"/>
  <c r="BC313" i="14"/>
  <c r="BC306" i="14"/>
  <c r="AP315" i="14"/>
  <c r="AP316" i="14"/>
  <c r="AP306" i="14"/>
  <c r="AP312" i="14"/>
  <c r="AP311" i="14"/>
  <c r="AP313" i="14"/>
  <c r="AP305" i="14"/>
  <c r="AP308" i="14"/>
  <c r="AP314" i="14"/>
  <c r="AP307" i="14"/>
  <c r="AP303" i="14"/>
  <c r="AP304" i="14"/>
  <c r="AP310" i="14"/>
  <c r="AP309" i="14"/>
  <c r="AZ313" i="14"/>
  <c r="AZ308" i="14"/>
  <c r="AZ305" i="14"/>
  <c r="AZ303" i="14"/>
  <c r="AZ306" i="14"/>
  <c r="AZ309" i="14"/>
  <c r="AZ314" i="14"/>
  <c r="AZ310" i="14"/>
  <c r="AZ307" i="14"/>
  <c r="AZ316" i="14"/>
  <c r="AZ315" i="14"/>
  <c r="AZ304" i="14"/>
  <c r="AZ312" i="14"/>
  <c r="AZ311" i="14"/>
  <c r="AY314" i="14"/>
  <c r="AY315" i="14"/>
  <c r="AY305" i="14"/>
  <c r="AY308" i="14"/>
  <c r="AY311" i="14"/>
  <c r="AY310" i="14"/>
  <c r="AY312" i="14"/>
  <c r="AY316" i="14"/>
  <c r="AY303" i="14"/>
  <c r="AY307" i="14"/>
  <c r="AY309" i="14"/>
  <c r="AY313" i="14"/>
  <c r="AY306" i="14"/>
  <c r="AY304" i="14"/>
  <c r="AT315" i="14"/>
  <c r="AT316" i="14"/>
  <c r="AT313" i="14"/>
  <c r="AT308" i="14"/>
  <c r="AT312" i="14"/>
  <c r="AT311" i="14"/>
  <c r="AT309" i="14"/>
  <c r="AT303" i="14"/>
  <c r="AT305" i="14"/>
  <c r="AT307" i="14"/>
  <c r="AT310" i="14"/>
  <c r="AT304" i="14"/>
  <c r="AT314" i="14"/>
  <c r="AT306" i="14"/>
  <c r="BA316" i="14"/>
  <c r="BA311" i="14"/>
  <c r="BA309" i="14"/>
  <c r="BA312" i="14"/>
  <c r="BA313" i="14"/>
  <c r="BA307" i="14"/>
  <c r="BA305" i="14"/>
  <c r="BA315" i="14"/>
  <c r="BA306" i="14"/>
  <c r="BA308" i="14"/>
  <c r="BA310" i="14"/>
  <c r="BA303" i="14"/>
  <c r="BA314" i="14"/>
  <c r="BA304" i="14"/>
  <c r="AK316" i="14"/>
  <c r="AK310" i="14"/>
  <c r="AK307" i="14"/>
  <c r="AK312" i="14"/>
  <c r="AK308" i="14"/>
  <c r="AK303" i="14"/>
  <c r="AK313" i="14"/>
  <c r="AK305" i="14"/>
  <c r="AK315" i="14"/>
  <c r="AK304" i="14"/>
  <c r="AK311" i="14"/>
  <c r="AK309" i="14"/>
  <c r="AK314" i="14"/>
  <c r="AK306" i="14"/>
  <c r="U316" i="14"/>
  <c r="U305" i="14"/>
  <c r="U306" i="14"/>
  <c r="U309" i="14"/>
  <c r="U311" i="14"/>
  <c r="U310" i="14"/>
  <c r="U312" i="14"/>
  <c r="U315" i="14"/>
  <c r="U313" i="14"/>
  <c r="U314" i="14"/>
  <c r="U307" i="14"/>
  <c r="U308" i="14"/>
  <c r="U304" i="14"/>
  <c r="U303" i="14"/>
  <c r="BI134" i="24"/>
  <c r="BI136" i="24" s="1"/>
  <c r="BH136" i="24"/>
  <c r="BH120" i="24"/>
  <c r="BI118" i="24"/>
  <c r="BI120" i="24" s="1"/>
  <c r="BH180" i="24"/>
  <c r="BI178" i="24"/>
  <c r="BI180" i="24" s="1"/>
  <c r="BH143" i="24"/>
  <c r="BI141" i="24"/>
  <c r="BI143" i="24" s="1"/>
  <c r="BH152" i="24"/>
  <c r="BI150" i="24"/>
  <c r="BI152" i="24" s="1"/>
  <c r="BH146" i="24"/>
  <c r="BI144" i="24"/>
  <c r="BI146" i="24" s="1"/>
  <c r="BH133" i="24"/>
  <c r="BI131" i="24"/>
  <c r="BI133" i="24" s="1"/>
  <c r="BH155" i="24"/>
  <c r="BI153" i="24"/>
  <c r="BI155" i="24" s="1"/>
  <c r="BH159" i="24"/>
  <c r="BI157" i="24"/>
  <c r="BI159" i="24" s="1"/>
  <c r="BH187" i="24"/>
  <c r="BI185" i="24"/>
  <c r="BI187" i="24" s="1"/>
  <c r="BH129" i="24"/>
  <c r="BI127" i="24"/>
  <c r="BI129" i="24" s="1"/>
  <c r="BH184" i="24"/>
  <c r="BI182" i="24"/>
  <c r="BI184" i="24" s="1"/>
  <c r="BH123" i="24"/>
  <c r="BI121" i="24"/>
  <c r="BI123" i="24" s="1"/>
  <c r="BH171" i="24"/>
  <c r="BI169" i="24"/>
  <c r="BI171" i="24" s="1"/>
  <c r="BI172" i="24"/>
  <c r="BI174" i="24" s="1"/>
  <c r="BH174" i="24"/>
  <c r="BI160" i="24"/>
  <c r="BI162" i="24" s="1"/>
  <c r="BH162" i="24"/>
  <c r="BH117" i="24"/>
  <c r="BI115" i="24"/>
  <c r="BI117" i="24" s="1"/>
  <c r="BH177" i="24"/>
  <c r="BI175" i="24"/>
  <c r="BI177" i="24" s="1"/>
  <c r="BI124" i="24"/>
  <c r="BI126" i="24" s="1"/>
  <c r="BH126" i="24"/>
  <c r="BI166" i="24"/>
  <c r="BI168" i="24" s="1"/>
  <c r="BH168" i="24"/>
  <c r="BI147" i="24"/>
  <c r="BI149" i="24" s="1"/>
  <c r="BH149" i="24"/>
</calcChain>
</file>

<file path=xl/comments1.xml><?xml version="1.0" encoding="utf-8"?>
<comments xmlns="http://schemas.openxmlformats.org/spreadsheetml/2006/main">
  <authors>
    <author>Piotr Mierzejewski</author>
  </authors>
  <commentList>
    <comment ref="J12" authorId="0" shapeId="0">
      <text>
        <r>
          <rPr>
            <sz val="8"/>
            <color indexed="81"/>
            <rFont val="Tahoma"/>
            <family val="2"/>
            <charset val="238"/>
          </rPr>
          <t xml:space="preserve">Dane opracowane na bazie wyników NSP'2011: </t>
        </r>
        <r>
          <rPr>
            <b/>
            <sz val="8"/>
            <color indexed="81"/>
            <rFont val="Tahoma"/>
            <family val="2"/>
            <charset val="238"/>
          </rPr>
          <t xml:space="preserve">38 497 tys.
</t>
        </r>
        <r>
          <rPr>
            <sz val="8"/>
            <color indexed="81"/>
            <rFont val="Tahoma"/>
            <family val="2"/>
            <charset val="238"/>
          </rPr>
          <t>Źródło: Mały Rocznik Statystyczny Polski 2016, Tabl. 2(64), Bilans ludności - Stan ludności w dniu 1 stycznia 2010</t>
        </r>
      </text>
    </comment>
    <comment ref="K12" authorId="0" shapeId="0">
      <text>
        <r>
          <rPr>
            <sz val="8"/>
            <color indexed="81"/>
            <rFont val="Tahoma"/>
            <family val="2"/>
            <charset val="238"/>
          </rPr>
          <t xml:space="preserve">Dane od 2010 włącznie opracowane na bazie wyników NSP'2011. </t>
        </r>
      </text>
    </comment>
    <comment ref="U12" authorId="0" shapeId="0">
      <text>
        <r>
          <rPr>
            <sz val="8"/>
            <color indexed="81"/>
            <rFont val="Tahoma"/>
            <family val="2"/>
            <charset val="238"/>
          </rPr>
          <t xml:space="preserve">Dane od 2020 włącznie opracowane na bazie wyników NSP'2021. </t>
        </r>
      </text>
    </comment>
  </commentList>
</comments>
</file>

<file path=xl/comments10.xml><?xml version="1.0" encoding="utf-8"?>
<comments xmlns="http://schemas.openxmlformats.org/spreadsheetml/2006/main">
  <authors>
    <author>Piotr Mierzejewski</author>
  </authors>
  <commentList>
    <comment ref="A50" authorId="0" shapeId="0">
      <text>
        <r>
          <rPr>
            <sz val="9"/>
            <color indexed="81"/>
            <rFont val="Tahoma"/>
            <family val="2"/>
            <charset val="238"/>
          </rPr>
          <t xml:space="preserve">Koszty zmiany klimatu – bez uwzględnienia parytetu krajowego PKB per capita w PPS, dodatkowe uwzględnienie długoterminowej ścieżki wzrostu.  </t>
        </r>
      </text>
    </comment>
    <comment ref="F50" authorId="0" shapeId="0">
      <text>
        <r>
          <rPr>
            <sz val="9"/>
            <color indexed="81"/>
            <rFont val="Tahoma"/>
            <family val="2"/>
            <charset val="238"/>
          </rPr>
          <t xml:space="preserve">Koszty zmiany klimatu – dla pociągów elektrycznych (pasażerskich, towarowych) dodatkowo uwzględniony spadek wskaźnika emisji CO2 sieciowej energii elektrycznej. </t>
        </r>
      </text>
    </comment>
    <comment ref="N50" authorId="0" shapeId="0">
      <text>
        <r>
          <rPr>
            <sz val="9"/>
            <color indexed="81"/>
            <rFont val="Tahoma"/>
            <family val="2"/>
            <charset val="238"/>
          </rPr>
          <t xml:space="preserve">Koszty zmiany klimatu – dla pociągów elektrycznych (pasażerskich, towarowych) dodatkowo uwzględniony spadek wskaźnika emisji CO2 sieciowej energii elektrycznej. </t>
        </r>
      </text>
    </comment>
  </commentList>
</comments>
</file>

<file path=xl/comments11.xml><?xml version="1.0" encoding="utf-8"?>
<comments xmlns="http://schemas.openxmlformats.org/spreadsheetml/2006/main">
  <authors>
    <author>Piotr Mierzejewski</author>
  </authors>
  <commentList>
    <comment ref="V13" authorId="0" shapeId="0">
      <text>
        <r>
          <rPr>
            <sz val="9"/>
            <color indexed="81"/>
            <rFont val="Tahoma"/>
            <family val="2"/>
            <charset val="238"/>
          </rPr>
          <t xml:space="preserve">Wyjątkowo w tym roku zastosowano zaokrąglenia wyników obliczeń, na potrzeby aktualizacji NK drogowej. Formuły zaokrągleń są jednakowe: 
zaokrąglenie zwykłe, uniwersalną elastyczną formułą (do pełnych tysięcy PLN jeśli kwota w dziesiątkach tysięcy; do pełnych dziesiątek tysięcy PLN jeśli kwota w setkach tysięcy; do pełnych setek tysięcy PLN jeśli kwota w milionach). </t>
        </r>
      </text>
    </comment>
    <comment ref="V37" authorId="0" shapeId="0">
      <text>
        <r>
          <rPr>
            <sz val="9"/>
            <color indexed="81"/>
            <rFont val="Tahoma"/>
            <family val="2"/>
            <charset val="238"/>
          </rPr>
          <t xml:space="preserve">Wyjątkowo w tym roku zastosowano zaokrąglenia wyników obliczeń, na potrzeby aktualizacji NK drogowej. Formuły zaokrągleń są jednakowe: 
zaokrąglenie zwykłe, uniwersalną elastyczną formułą (do pełnych tysięcy PLN jeśli kwota w dziesiątkach tysięcy; do pełnych dziesiątek tysięcy PLN jeśli kwota w setkach tysięcy; do pełnych setek tysięcy PLN jeśli kwota w milionach). </t>
        </r>
      </text>
    </comment>
    <comment ref="U87" authorId="0" shapeId="0">
      <text>
        <r>
          <rPr>
            <sz val="9"/>
            <color indexed="81"/>
            <rFont val="Tahoma"/>
            <family val="2"/>
            <charset val="238"/>
          </rPr>
          <t xml:space="preserve">W okresie przejściowym (rok 2021) przyjęto, że wartość tego kosztu do zastosowania w roku 2021 jest taka, jak wynika z danych za miesiące roku 2021. Wartość na kolejny rok przyjęto na takim samym poziomie, bez indeksacji. </t>
        </r>
      </text>
    </comment>
  </commentList>
</comments>
</file>

<file path=xl/comments12.xml><?xml version="1.0" encoding="utf-8"?>
<comments xmlns="http://schemas.openxmlformats.org/spreadsheetml/2006/main">
  <authors>
    <author>Piotr Mierzejewski</author>
    <author>Dariusz Giziński</author>
  </authors>
  <commentList>
    <comment ref="C20" authorId="0" shapeId="0">
      <text>
        <r>
          <rPr>
            <sz val="9"/>
            <color indexed="81"/>
            <rFont val="Tahoma"/>
            <family val="2"/>
            <charset val="238"/>
          </rPr>
          <t xml:space="preserve">Jednostka według opracowania źródłowego KOBiZE (2020): 
kg/MWh = g/kWh </t>
        </r>
      </text>
    </comment>
    <comment ref="F20" authorId="1" shapeId="0">
      <text>
        <r>
          <rPr>
            <sz val="9"/>
            <color indexed="81"/>
            <rFont val="Tahoma"/>
            <family val="2"/>
            <charset val="238"/>
          </rPr>
          <t xml:space="preserve">Wartość wskaźnika emisyjności NMHC/NMVOC przyjęto z innego źródła niż dla wskaźników emisyjności pozostałych zanieczyszczeń w tym wierszu, gdyż brak wartości tego parametru w opracowaniu KOBiZE (2020). 
Źródło danych dla parametru Wskaźnik emisyjności NMVOC dla energii elektrycznej sieciowej w Polsce: 
Update of the Handbook on External Costs of Transport, Final Report, Ricardo-AEA, 8th January 2014, Annex F. Costs of up- and downstream processes, Table F-3. Emission factors from electricity use in g/GJ. 
Wykonano przeliczenie z g/GJ na g/kWh: 
(1.000 W * 3.600 s) / 1.000.000.000 J = 0,0036 GJ/kWh (tzn. 1 kWh = 0,0036 GJ) 
1,4 g/GJ *0,0036 GJ/kWh = 0,00504 g/kWh </t>
        </r>
      </text>
    </comment>
    <comment ref="I20" authorId="0" shapeId="0">
      <text>
        <r>
          <rPr>
            <sz val="9"/>
            <color indexed="81"/>
            <rFont val="Tahoma"/>
            <family val="2"/>
            <charset val="238"/>
          </rPr>
          <t xml:space="preserve">Opracowanie źródłowe jest dostępne pod adresem internetowym: https://www.kobize.pl/uploads/materialy/materialy_do_pobrania/wskazniki_emisyjnosci/Wskazniki_emisyjnosci_grudzien_2020.pdf 
</t>
        </r>
        <r>
          <rPr>
            <sz val="9"/>
            <color indexed="81"/>
            <rFont val="Tahoma"/>
            <family val="2"/>
            <charset val="238"/>
          </rPr>
          <t xml:space="preserve">Według KOBiZE nastąpił spadek wskaźnika emisyjności CO2 z 765 kg/MWh w roku 2018 do 719 kg/MWh w roku 2019, tzn. o –6,01%. </t>
        </r>
      </text>
    </comment>
    <comment ref="B40" authorId="0" shapeId="0">
      <text>
        <r>
          <rPr>
            <sz val="9"/>
            <color indexed="81"/>
            <rFont val="Tahoma"/>
            <family val="2"/>
            <charset val="238"/>
          </rPr>
          <t xml:space="preserve">Ta sama gęstość paliwa (oleju napędowego) została zastosowana do obliczenia VOC (składnik: zużycie paliwa) oraz do obliczenia emisji CO2 na potrzeby kosztów jednostkowych zmiany klimatu. </t>
        </r>
      </text>
    </comment>
    <comment ref="B43" authorId="0" shapeId="0">
      <text>
        <r>
          <rPr>
            <sz val="9"/>
            <color indexed="81"/>
            <rFont val="Tahoma"/>
            <family val="2"/>
            <charset val="238"/>
          </rPr>
          <t xml:space="preserve">Wartość wg źródła alternatywnego, wyłącznie w celach informacyjnych, porównawczych. 
Wynik bardzo zbliżony do obliczonego na podstawie źródła EMEP/EEA air pollutant emission inventory guidebook (2019), wartość mniej dokładna. </t>
        </r>
      </text>
    </comment>
    <comment ref="C48" authorId="0" shapeId="0">
      <text>
        <r>
          <rPr>
            <sz val="9"/>
            <color indexed="81"/>
            <rFont val="Tahoma"/>
            <family val="2"/>
            <charset val="238"/>
          </rPr>
          <t xml:space="preserve">Dolna granica z zakresu 33-38 MJ/Nm3(*) określonego w rozporządzeniu. 
(*) </t>
        </r>
        <r>
          <rPr>
            <i/>
            <sz val="9"/>
            <color indexed="81"/>
            <rFont val="Tahoma"/>
            <family val="2"/>
            <charset val="238"/>
          </rPr>
          <t>Nm3 - Normalny metr sześcienny jest jednostką spoza układu SI. W rozwinięciu Nm3 - normalny metr sześcienny. Jest to ilość gazu zawarta w objętości 1m3, o ciśnieniu 1atm., w temperaturze 0 stopni C. W ten sposób można po przeliczeniach porównywać rzeczywiste ilości gazów. Dla obliczeń praktycznych 1 Nm3 ≈1,07 m3.</t>
        </r>
        <r>
          <rPr>
            <sz val="9"/>
            <color indexed="81"/>
            <rFont val="Tahoma"/>
            <family val="2"/>
            <charset val="238"/>
          </rPr>
          <t xml:space="preserve"> 
</t>
        </r>
        <r>
          <rPr>
            <i/>
            <sz val="9"/>
            <color indexed="81"/>
            <rFont val="Tahoma"/>
            <family val="2"/>
            <charset val="238"/>
          </rPr>
          <t>&lt;&lt;https://sprezarki-atomizer.pl/sites/default/files/Leksykon%20termin%C3%B3w%20pneumatyki.pdf&gt;&gt;</t>
        </r>
        <r>
          <rPr>
            <sz val="9"/>
            <color indexed="81"/>
            <rFont val="Tahoma"/>
            <family val="2"/>
            <charset val="238"/>
          </rPr>
          <t xml:space="preserve"> </t>
        </r>
      </text>
    </comment>
    <comment ref="B57" authorId="0" shapeId="0">
      <text>
        <r>
          <rPr>
            <sz val="9"/>
            <color indexed="81"/>
            <rFont val="Tahoma"/>
            <family val="2"/>
            <charset val="238"/>
          </rPr>
          <t xml:space="preserve">Wartości oznaczone [1] wg źródła alternatywnego, wyłącznie w celach informacyjnych, porównawczych. </t>
        </r>
      </text>
    </comment>
    <comment ref="B63" authorId="0" shapeId="0">
      <text>
        <r>
          <rPr>
            <sz val="9"/>
            <color indexed="81"/>
            <rFont val="Tahoma"/>
            <family val="2"/>
            <charset val="238"/>
          </rPr>
          <t xml:space="preserve">Wartość ta przyjęta jest na podstawie źródła innego niż dla autobusu z silnikiem Diesla (EMEP/EEA air pollutant emission inventory guidebook, 2019). Wartość uzyskana na podstawie obliczeń według tamtego źródła (powyżej przedstawiona w celach informacyjnych i oznaczona [1]) jest zupełnie niemiarodajna, prowadzi do zawyżenia emisji CO2 względem autobusów z silnikiem Diesla. </t>
        </r>
      </text>
    </comment>
    <comment ref="B81" authorId="0" shapeId="0">
      <text>
        <r>
          <rPr>
            <sz val="9"/>
            <color indexed="81"/>
            <rFont val="Tahoma"/>
            <family val="2"/>
            <charset val="238"/>
          </rPr>
          <t xml:space="preserve">Wartość wg źródła alternatywnego, wyłącznie w celach informacyjnych, porównawczych. 
Wynik bardzo zbliżony do obliczonego na podstawie źródła EMEP/EEA air pollutant emission inventory guidebook (2019), wartość mniej dokładna. </t>
        </r>
      </text>
    </comment>
  </commentList>
</comments>
</file>

<file path=xl/comments2.xml><?xml version="1.0" encoding="utf-8"?>
<comments xmlns="http://schemas.openxmlformats.org/spreadsheetml/2006/main">
  <authors>
    <author>Piotr Mierzejewski</author>
  </authors>
  <commentList>
    <comment ref="P5" authorId="0" shapeId="0">
      <text>
        <r>
          <rPr>
            <u/>
            <sz val="9"/>
            <color indexed="81"/>
            <rFont val="Tahoma"/>
            <family val="2"/>
            <charset val="238"/>
          </rPr>
          <t>Pociągi towarowe bezpośrednie</t>
        </r>
        <r>
          <rPr>
            <sz val="9"/>
            <color indexed="81"/>
            <rFont val="Tahoma"/>
            <family val="2"/>
            <charset val="238"/>
          </rPr>
          <t xml:space="preserve"> – składają się z tego samego rodzaju wagonów towarowych i przeznaczone są do przewozu jednorodnego rodzaju ładunku w masowych ilościach. Zasadniczo są to pociągi towarowe wahadłowe, których istota przewozu polega na przemieszczaniu się zwartego składu wagonów towarowych z ładunkiem (...). Pomiędzy przewozem ładunków następują – w punktach zwrotnych – operacje załadunku i rozładunku. (Wikipedia, PL) 
A </t>
        </r>
        <r>
          <rPr>
            <u/>
            <sz val="9"/>
            <color indexed="81"/>
            <rFont val="Tahoma"/>
            <family val="2"/>
            <charset val="238"/>
          </rPr>
          <t>unit train</t>
        </r>
        <r>
          <rPr>
            <sz val="9"/>
            <color indexed="81"/>
            <rFont val="Tahoma"/>
            <family val="2"/>
            <charset val="238"/>
          </rPr>
          <t>, also called a </t>
        </r>
        <r>
          <rPr>
            <u/>
            <sz val="9"/>
            <color indexed="81"/>
            <rFont val="Tahoma"/>
            <family val="2"/>
            <charset val="238"/>
          </rPr>
          <t>block train</t>
        </r>
        <r>
          <rPr>
            <sz val="9"/>
            <color indexed="81"/>
            <rFont val="Tahoma"/>
            <family val="2"/>
            <charset val="238"/>
          </rPr>
          <t xml:space="preserve"> or a </t>
        </r>
        <r>
          <rPr>
            <u/>
            <sz val="9"/>
            <color indexed="81"/>
            <rFont val="Tahoma"/>
            <family val="2"/>
            <charset val="238"/>
          </rPr>
          <t>trainload service</t>
        </r>
        <r>
          <rPr>
            <sz val="9"/>
            <color indexed="81"/>
            <rFont val="Tahoma"/>
            <family val="2"/>
            <charset val="238"/>
          </rPr>
          <t xml:space="preserve">, is a train in which all cars carry the same commodity and are shipped from the same origin to the same destination, without being split up or stored en route. (Wikipedia, EN) </t>
        </r>
      </text>
    </comment>
    <comment ref="T5" authorId="0" shapeId="0">
      <text>
        <r>
          <rPr>
            <u/>
            <sz val="9"/>
            <color indexed="81"/>
            <rFont val="Tahoma"/>
            <family val="2"/>
            <charset val="238"/>
          </rPr>
          <t>Pociągi towarowe grupowe</t>
        </r>
        <r>
          <rPr>
            <sz val="9"/>
            <color indexed="81"/>
            <rFont val="Tahoma"/>
            <family val="2"/>
            <charset val="238"/>
          </rPr>
          <t xml:space="preserve"> – zestawione mogą być z tego samego rodzaju wagonów towarowych albo różnych rodzajów wagonów towarowych, ale zgrupowanych według miejsc przeznaczenia, do jakiego dana grupa wagonów będzie kierowana. Może być od dwóch do kilku grup wagonowych w pociągu towarowym. Ten typ pociągu towarowego umożliwia obsługę kilku punktów docelowych ładunku, szczególnie wtedy, gdy część trasy przewozu poszczególnych grup wagonów – od punktu nadania do punktu przeznaczenia – pokrywa się. W trakcie przewozu, w optymalnym do tego celu punkcie, pociąg towarowy grupowy jest dzielony, a grupy wagonowe kierowane są do poszczególnych punktów docelowych jako nowo sformowane pociągi towarowe. (Wikipedia, PL) 
In rail freight transportation the terms </t>
        </r>
        <r>
          <rPr>
            <u/>
            <sz val="9"/>
            <color indexed="81"/>
            <rFont val="Tahoma"/>
            <family val="2"/>
            <charset val="238"/>
          </rPr>
          <t>wagonload</t>
        </r>
        <r>
          <rPr>
            <sz val="9"/>
            <color indexed="81"/>
            <rFont val="Tahoma"/>
            <family val="2"/>
            <charset val="238"/>
          </rPr>
          <t xml:space="preserve"> or </t>
        </r>
        <r>
          <rPr>
            <u/>
            <sz val="9"/>
            <color indexed="81"/>
            <rFont val="Tahoma"/>
            <family val="2"/>
            <charset val="238"/>
          </rPr>
          <t>wagonload freight</t>
        </r>
        <r>
          <rPr>
            <sz val="9"/>
            <color indexed="81"/>
            <rFont val="Tahoma"/>
            <family val="2"/>
            <charset val="238"/>
          </rPr>
          <t xml:space="preserve"> refer to trains made of single wagon consignments of freight. 
With competition from road transport rail freight transport is increasingly operated as unit trains, with wagonload less able to compete with road haulage. 
Wagonload traffic typically consists of individual wagons load with goods at separate locations (goods shed), transferred to marshalling yards where the wagons are sorted by destination, then transported to a destination marshalling yard where individual wagons are separated and collected into trains per destination. (Wikipedia, EN) </t>
        </r>
      </text>
    </comment>
    <comment ref="X5" authorId="0" shapeId="0">
      <text>
        <r>
          <rPr>
            <u/>
            <sz val="9"/>
            <color indexed="81"/>
            <rFont val="Tahoma"/>
            <family val="2"/>
            <charset val="238"/>
          </rPr>
          <t>Pociąg towarowy intermodalny</t>
        </r>
        <r>
          <rPr>
            <sz val="9"/>
            <color indexed="81"/>
            <rFont val="Tahoma"/>
            <family val="2"/>
            <charset val="238"/>
          </rPr>
          <t xml:space="preserve"> – zestawiony z wagonów towarowych przeznaczonych do przewozów jednostek ładunkowych (takich jak kontenery, naczepy samochodowe lub całe samochody ciężarowe). (Wikipedia, PL) </t>
        </r>
      </text>
    </comment>
    <comment ref="Q37" authorId="0" shapeId="0">
      <text>
        <r>
          <rPr>
            <sz val="9"/>
            <color indexed="81"/>
            <rFont val="Tahoma"/>
            <family val="2"/>
            <charset val="238"/>
          </rPr>
          <t xml:space="preserve">W roku 2010 UE liczyła 27 państw członkowskich. 
W połowie roku 2013 dołączyła Chorwacja i odtąd do końca stycznia 2020 roku UE liczyła 28 państw członkowskich. Na koniec stycznia 2020 roku Wielka Brytania opuściła UE. </t>
        </r>
      </text>
    </comment>
  </commentList>
</comments>
</file>

<file path=xl/comments3.xml><?xml version="1.0" encoding="utf-8"?>
<comments xmlns="http://schemas.openxmlformats.org/spreadsheetml/2006/main">
  <authors>
    <author>Piotr Mierzejewski</author>
  </authors>
  <commentList>
    <comment ref="P5" authorId="0" shapeId="0">
      <text>
        <r>
          <rPr>
            <u/>
            <sz val="9"/>
            <color indexed="81"/>
            <rFont val="Tahoma"/>
            <family val="2"/>
            <charset val="238"/>
          </rPr>
          <t>Pociągi towarowe bezpośrednie</t>
        </r>
        <r>
          <rPr>
            <sz val="9"/>
            <color indexed="81"/>
            <rFont val="Tahoma"/>
            <family val="2"/>
            <charset val="238"/>
          </rPr>
          <t xml:space="preserve"> – składają się z tego samego rodzaju wagonów towarowych i przeznaczone są do przewozu jednorodnego rodzaju ładunku w masowych ilościach. Zasadniczo są to pociągi towarowe wahadłowe, których istota przewozu polega na przemieszczaniu się zwartego składu wagonów towarowych z ładunkiem (...). Pomiędzy przewozem ładunków następują – w punktach zwrotnych – operacje załadunku i rozładunku. (Wikipedia, PL) 
A </t>
        </r>
        <r>
          <rPr>
            <u/>
            <sz val="9"/>
            <color indexed="81"/>
            <rFont val="Tahoma"/>
            <family val="2"/>
            <charset val="238"/>
          </rPr>
          <t>unit train</t>
        </r>
        <r>
          <rPr>
            <sz val="9"/>
            <color indexed="81"/>
            <rFont val="Tahoma"/>
            <family val="2"/>
            <charset val="238"/>
          </rPr>
          <t>, also called a </t>
        </r>
        <r>
          <rPr>
            <u/>
            <sz val="9"/>
            <color indexed="81"/>
            <rFont val="Tahoma"/>
            <family val="2"/>
            <charset val="238"/>
          </rPr>
          <t>block train</t>
        </r>
        <r>
          <rPr>
            <sz val="9"/>
            <color indexed="81"/>
            <rFont val="Tahoma"/>
            <family val="2"/>
            <charset val="238"/>
          </rPr>
          <t xml:space="preserve"> or a </t>
        </r>
        <r>
          <rPr>
            <u/>
            <sz val="9"/>
            <color indexed="81"/>
            <rFont val="Tahoma"/>
            <family val="2"/>
            <charset val="238"/>
          </rPr>
          <t>trainload service</t>
        </r>
        <r>
          <rPr>
            <sz val="9"/>
            <color indexed="81"/>
            <rFont val="Tahoma"/>
            <family val="2"/>
            <charset val="238"/>
          </rPr>
          <t xml:space="preserve">, is a train in which all cars carry the same commodity and are shipped from the same origin to the same destination, without being split up or stored en route. (Wikipedia, EN) </t>
        </r>
      </text>
    </comment>
    <comment ref="T5" authorId="0" shapeId="0">
      <text>
        <r>
          <rPr>
            <u/>
            <sz val="9"/>
            <color indexed="81"/>
            <rFont val="Tahoma"/>
            <family val="2"/>
            <charset val="238"/>
          </rPr>
          <t>Pociągi towarowe grupowe</t>
        </r>
        <r>
          <rPr>
            <sz val="9"/>
            <color indexed="81"/>
            <rFont val="Tahoma"/>
            <family val="2"/>
            <charset val="238"/>
          </rPr>
          <t xml:space="preserve"> – zestawione mogą być z tego samego rodzaju wagonów towarowych albo różnych rodzajów wagonów towarowych, ale zgrupowanych według miejsc przeznaczenia, do jakiego dana grupa wagonów będzie kierowana. Może być od dwóch do kilku grup wagonowych w pociągu towarowym. Ten typ pociągu towarowego umożliwia obsługę kilku punktów docelowych ładunku, szczególnie wtedy, gdy część trasy przewozu poszczególnych grup wagonów – od punktu nadania do punktu przeznaczenia – pokrywa się. W trakcie przewozu, w optymalnym do tego celu punkcie, pociąg towarowy grupowy jest dzielony, a grupy wagonowe kierowane są do poszczególnych punktów docelowych jako nowo sformowane pociągi towarowe. (Wikipedia, PL) 
In rail freight transportation the terms </t>
        </r>
        <r>
          <rPr>
            <u/>
            <sz val="9"/>
            <color indexed="81"/>
            <rFont val="Tahoma"/>
            <family val="2"/>
            <charset val="238"/>
          </rPr>
          <t>wagonload</t>
        </r>
        <r>
          <rPr>
            <sz val="9"/>
            <color indexed="81"/>
            <rFont val="Tahoma"/>
            <family val="2"/>
            <charset val="238"/>
          </rPr>
          <t xml:space="preserve"> or </t>
        </r>
        <r>
          <rPr>
            <u/>
            <sz val="9"/>
            <color indexed="81"/>
            <rFont val="Tahoma"/>
            <family val="2"/>
            <charset val="238"/>
          </rPr>
          <t>wagonload freight</t>
        </r>
        <r>
          <rPr>
            <sz val="9"/>
            <color indexed="81"/>
            <rFont val="Tahoma"/>
            <family val="2"/>
            <charset val="238"/>
          </rPr>
          <t xml:space="preserve"> refer to trains made of single wagon consignments of freight. 
With competition from road transport rail freight transport is increasingly operated as unit trains, with wagonload less able to compete with road haulage. 
Wagonload traffic typically consists of individual wagons load with goods at separate locations (goods shed), transferred to marshalling yards where the wagons are sorted by destination, then transported to a destination marshalling yard where individual wagons are separated and collected into trains per destination. (Wikipedia, EN) </t>
        </r>
      </text>
    </comment>
    <comment ref="X5" authorId="0" shapeId="0">
      <text>
        <r>
          <rPr>
            <u/>
            <sz val="9"/>
            <color indexed="81"/>
            <rFont val="Tahoma"/>
            <family val="2"/>
            <charset val="238"/>
          </rPr>
          <t>Pociąg towarowy intermodalny</t>
        </r>
        <r>
          <rPr>
            <sz val="9"/>
            <color indexed="81"/>
            <rFont val="Tahoma"/>
            <family val="2"/>
            <charset val="238"/>
          </rPr>
          <t xml:space="preserve"> – zestawiony z wagonów towarowych przeznaczonych do przewozów jednostek ładunkowych (takich jak kontenery, naczepy samochodowe lub całe samochody ciężarowe). (Wikipedia, PL) </t>
        </r>
      </text>
    </comment>
    <comment ref="Q26" authorId="0" shapeId="0">
      <text>
        <r>
          <rPr>
            <sz val="9"/>
            <color indexed="81"/>
            <rFont val="Tahoma"/>
            <family val="2"/>
            <charset val="238"/>
          </rPr>
          <t xml:space="preserve">W roku 2010 UE liczyła 27 państw członkowskich. 
W połowie roku 2013 dołączyła Chorwacja i odtąd do końca stycznia 2020 roku UE liczyła 28 państw członkowskich. Na koniec stycznia 2020 roku Wielka Brytania opuściła UE. </t>
        </r>
      </text>
    </comment>
  </commentList>
</comments>
</file>

<file path=xl/comments4.xml><?xml version="1.0" encoding="utf-8"?>
<comments xmlns="http://schemas.openxmlformats.org/spreadsheetml/2006/main">
  <authors>
    <author>Piotr Mierzejewski</author>
  </authors>
  <commentList>
    <comment ref="U99" authorId="0" shapeId="0">
      <text>
        <r>
          <rPr>
            <sz val="9"/>
            <color indexed="81"/>
            <rFont val="Tahoma"/>
            <family val="2"/>
            <charset val="238"/>
          </rPr>
          <t xml:space="preserve">W latach projekcji poprzedzających rok 2020 przyjęto koszt jednostkowy na poziomie określonym dla roku 2020 w opracowaniu źródłowym EBI. </t>
        </r>
      </text>
    </comment>
    <comment ref="AY99" authorId="0" shapeId="0">
      <text>
        <r>
          <rPr>
            <sz val="9"/>
            <color indexed="81"/>
            <rFont val="Tahoma"/>
            <family val="2"/>
            <charset val="238"/>
          </rPr>
          <t xml:space="preserve">Przyjęto ostrożne założenie, że w kolejnych latach projekcji koszt jednostkowy nie rośnie powyżej poziomu określonego dla roku 2050 w opracowaniu źródłowym EBI.  </t>
        </r>
      </text>
    </comment>
    <comment ref="Q142" authorId="0" shapeId="0">
      <text>
        <r>
          <rPr>
            <sz val="9"/>
            <color indexed="81"/>
            <rFont val="Tahoma"/>
            <family val="2"/>
            <charset val="238"/>
          </rPr>
          <t>Alternatywne źródło danych (za rok 2018): 
EIB Project Carbon Footprint Methodologies (July 2019), Table A1.3 Country Specific Electricity Emission Factors 
Table A1.3 includes the following information (page 29): 
- The Combined Margin for intermittent electricity generation, which should be used to calculate the baseline emissions for intermittent electricity generation such as solar, wind and tidal electricity generation. [</t>
        </r>
        <r>
          <rPr>
            <i/>
            <sz val="9"/>
            <color indexed="81"/>
            <rFont val="Tahoma"/>
            <family val="2"/>
            <charset val="238"/>
          </rPr>
          <t>i.e. not for energy consumption, such as charging electric vehicles</t>
        </r>
        <r>
          <rPr>
            <sz val="9"/>
            <color indexed="81"/>
            <rFont val="Tahoma"/>
            <family val="2"/>
            <charset val="238"/>
          </rPr>
          <t xml:space="preserve">] 
- The Combined Margin for firm electricity generation, which should be used to calculate the baseline emissions for firm electricity generation such as hydro, geothermal and conventional fossil fuel powered electricity generation, electricity consumption, and electricity savings from energy efficiency measures. 
- The emission factors for electricity consumption, including network losses. These emission factors for electricity consumption are used solely as the reference value for the calculation of electricity consumption and for transmission and distribution (T&amp;D) losses and should not be used for the calculation of emissions from electricity generation projects. Where actual T&amp;D losses are known, these can be used instead, as long as the sources are well documented.
</t>
        </r>
        <r>
          <rPr>
            <b/>
            <sz val="9"/>
            <color indexed="81"/>
            <rFont val="Tahoma"/>
            <family val="2"/>
            <charset val="238"/>
          </rPr>
          <t xml:space="preserve">Poland (page 33) </t>
        </r>
        <r>
          <rPr>
            <sz val="9"/>
            <color indexed="81"/>
            <rFont val="Tahoma"/>
            <family val="2"/>
            <charset val="238"/>
          </rPr>
          <t xml:space="preserve">
765 gCO2/kWh (EU-28: 399) - Combined Margin Intermittent Electricity Generation 
568 gCO2/kWh (EU-28: 266) - Combined Margin Firm Electricity Generation/ Electricity Consumption 
579 gCO2/kWh (EU-28: 271) - Electricity Consumption/ Network Losses High Voltage (HV) Grid +2% 
591 gCO2/kWh (EU-28: 277) - Electricity Consumption/ Network Losses Medium Voltage (MV) Grid +4% 
608 gCO2/kWh (EU-28: 285) - Electricity Consumption/ Network Losses Low Voltage (LV) Grid +7% 
Dla projektów transportowych należy używać następujących wskaźników emisyjności sieciowej energii elektrycznej: 
  Samochody elektryczne, tj. LDV (w tym samochody osobowe i samochody dostawcze) oraz HDV (w tym samochody ciężarowe i autobusy): sieć NN 
  Ładowanie samochodów elektrycznych: sieć NN (zasilanie wyższą energią prawdopodobnie z sieci SN – do weryfikacji przy analizie i ocenie danego projektu) 
  Pociągi elektryczne i projekty dotyczące konwencjonalnej infrastruktury kolejowej: 
    &gt;15 kV: sieć WN 
    3 kV: sieć SN 
  Pociągi dużej prędkości i infrastruktura kolei dużych prędkości: sieć WN 
  Tramwaje, metro, lekka kolej: sieć SN 
Według KOBiZE, wskaźnik emisyjności CO2 dla sieciowej energii elektrycznej za rok 2018 (analogicznie jak w "EIB Project Carbon Footprint Methodologies", lipiec 2019) wynosił </t>
        </r>
        <r>
          <rPr>
            <u/>
            <sz val="9"/>
            <color indexed="81"/>
            <rFont val="Tahoma"/>
            <family val="2"/>
            <charset val="238"/>
          </rPr>
          <t>765 kg/MWh</t>
        </r>
        <r>
          <rPr>
            <sz val="9"/>
            <color indexed="81"/>
            <rFont val="Tahoma"/>
            <family val="2"/>
            <charset val="238"/>
          </rPr>
          <t xml:space="preserve">. 
Ta sama wartość wskaźnika występuje również w "EIB Project Carbon Footprint Methodologies" (lipiec 2019), jako dotycząca </t>
        </r>
        <r>
          <rPr>
            <u/>
            <sz val="9"/>
            <color indexed="81"/>
            <rFont val="Tahoma"/>
            <family val="2"/>
            <charset val="238"/>
          </rPr>
          <t>wytwarzania</t>
        </r>
        <r>
          <rPr>
            <sz val="9"/>
            <color indexed="81"/>
            <rFont val="Tahoma"/>
            <family val="2"/>
            <charset val="238"/>
          </rPr>
          <t xml:space="preserve"> energii elektrycznej ze źródeł niestabilnych (jak np. instalacje fotowoltaiczne, wiatrowe itp.) – która nie jest stosowna dla </t>
        </r>
        <r>
          <rPr>
            <u/>
            <sz val="9"/>
            <color indexed="81"/>
            <rFont val="Tahoma"/>
            <family val="2"/>
            <charset val="238"/>
          </rPr>
          <t>zużycia</t>
        </r>
        <r>
          <rPr>
            <sz val="9"/>
            <color indexed="81"/>
            <rFont val="Tahoma"/>
            <family val="2"/>
            <charset val="238"/>
          </rPr>
          <t xml:space="preserve"> energii, np. do ładowania pojazdów elektrycznych. 
Krajowe wskaźniki emisyjności dla sieciowej energii elektrycznej (national grid factors) są przedstawione w raportach KOBiZE w rozdziale 2, strona 4, tabela "Wskaźniki emisji w [kg/MWh] dla odbiorców końcowych energii elektrycznej". 
Według KOBiZE, wskaźnik emisyjności CO2 dla sieciowej energii elektrycznej za 2019 rok wynosił 719 kg/MWh, tzn. mniej o –6,01% niż w roku 2018. </t>
        </r>
      </text>
    </comment>
    <comment ref="AN177" authorId="0" shapeId="0">
      <text>
        <r>
          <rPr>
            <sz val="9"/>
            <color indexed="81"/>
            <rFont val="Tahoma"/>
            <family val="2"/>
            <charset val="238"/>
          </rPr>
          <t xml:space="preserve">Przyjęto ostrożne założenie, że w kolejnych latach projekcji wskaźniki emisyjności energetyki nie spadają poniżej poziomu obliczonego dla roku 2040. </t>
        </r>
      </text>
    </comment>
  </commentList>
</comments>
</file>

<file path=xl/comments5.xml><?xml version="1.0" encoding="utf-8"?>
<comments xmlns="http://schemas.openxmlformats.org/spreadsheetml/2006/main">
  <authors>
    <author>Piotr Mierzejewski</author>
  </authors>
  <commentList>
    <comment ref="S35" authorId="0" shapeId="0">
      <text>
        <r>
          <rPr>
            <sz val="9"/>
            <color indexed="81"/>
            <rFont val="Tahoma"/>
            <family val="2"/>
            <charset val="238"/>
          </rPr>
          <t>Alternatywne źródło danych (za rok 2018): 
EIB Project Carbon Footprint Methodologies (July 2019), Table A1.3 Country Specific Electricity Emission Factors 
Table A1.3 includes the following information (page 29): 
- The Combined Margin for intermittent electricity generation, which should be used to calculate the baseline emissions for intermittent electricity generation such as solar, wind and tidal electricity generation. [</t>
        </r>
        <r>
          <rPr>
            <i/>
            <sz val="9"/>
            <color indexed="81"/>
            <rFont val="Tahoma"/>
            <family val="2"/>
            <charset val="238"/>
          </rPr>
          <t>i.e. not for energy consumption, such as charging electric vehicles</t>
        </r>
        <r>
          <rPr>
            <sz val="9"/>
            <color indexed="81"/>
            <rFont val="Tahoma"/>
            <family val="2"/>
            <charset val="238"/>
          </rPr>
          <t xml:space="preserve">] 
- The Combined Margin for firm electricity generation, which should be used to calculate the baseline emissions for firm electricity generation such as hydro, geothermal and conventional fossil fuel powered electricity generation, electricity consumption, and electricity savings from energy efficiency measures. 
- The emission factors for electricity consumption, including network losses. These emission factors for electricity consumption are used solely as the reference value for the calculation of electricity consumption and for transmission and distribution (T&amp;D) losses and should not be used for the calculation of emissions from electricity generation projects. Where actual T&amp;D losses are known, these can be used instead, as long as the sources are well documented.
</t>
        </r>
        <r>
          <rPr>
            <b/>
            <sz val="9"/>
            <color indexed="81"/>
            <rFont val="Tahoma"/>
            <family val="2"/>
            <charset val="238"/>
          </rPr>
          <t xml:space="preserve">Poland (page 33) </t>
        </r>
        <r>
          <rPr>
            <sz val="9"/>
            <color indexed="81"/>
            <rFont val="Tahoma"/>
            <family val="2"/>
            <charset val="238"/>
          </rPr>
          <t xml:space="preserve">
765 gCO2/kWh (EU-28: 399) - Combined Margin Intermittent Electricity Generation 
568 gCO2/kWh (EU-28: 266) - Combined Margin Firm Electricity Generation/ Electricity Consumption 
579 gCO2/kWh (EU-28: 271) - Electricity Consumption/ Network Losses High Voltage (HV) Grid +2% 
591 gCO2/kWh (EU-28: 277) - Electricity Consumption/ Network Losses Medium Voltage (MV) Grid +4% 
608 gCO2/kWh (EU-28: 285) - Electricity Consumption/ Network Losses Low Voltage (LV) Grid +7% 
Dla projektów transportowych należy używać następujących wskaźników emisyjności sieciowej energii elektrycznej: 
  Samochody elektryczne, tj. LDV (w tym samochody osobowe i samochody dostawcze) oraz HDV (w tym samochody ciężarowe i autobusy): sieć NN 
  Ładowanie samochodów elektrycznych: sieć NN (zasilanie wyższą energią prawdopodobnie z sieci SN – do weryfikacji przy analizie i ocenie danego projektu) 
  Pociągi elektryczne i projekty dotyczące konwencjonalnej infrastruktury kolejowej: 
    &gt;15 kV: sieć WN 
    3 kV: sieć SN 
  Pociągi dużej prędkości i infrastruktura kolei dużych prędkości: sieć WN 
  Tramwaje, metro, lekka kolej: sieć SN 
Według KOBiZE, wskaźnik emisyjności CO2 dla sieciowej energii elektrycznej za rok 2018 (analogicznie jak w "EIB Project Carbon Footprint Methodologies", lipiec 2019) wynosił </t>
        </r>
        <r>
          <rPr>
            <u/>
            <sz val="9"/>
            <color indexed="81"/>
            <rFont val="Tahoma"/>
            <family val="2"/>
            <charset val="238"/>
          </rPr>
          <t>765 kg/MWh</t>
        </r>
        <r>
          <rPr>
            <sz val="9"/>
            <color indexed="81"/>
            <rFont val="Tahoma"/>
            <family val="2"/>
            <charset val="238"/>
          </rPr>
          <t xml:space="preserve">. 
Ta sama wartość wskaźnika występuje również w "EIB Project Carbon Footprint Methodologies" (lipiec 2019), jako dotycząca </t>
        </r>
        <r>
          <rPr>
            <u/>
            <sz val="9"/>
            <color indexed="81"/>
            <rFont val="Tahoma"/>
            <family val="2"/>
            <charset val="238"/>
          </rPr>
          <t>wytwarzania</t>
        </r>
        <r>
          <rPr>
            <sz val="9"/>
            <color indexed="81"/>
            <rFont val="Tahoma"/>
            <family val="2"/>
            <charset val="238"/>
          </rPr>
          <t xml:space="preserve"> energii elektrycznej ze źródeł niestabilnych (jak np. instalacje fotowoltaiczne, wiatrowe itp.) – która nie jest stosowna dla </t>
        </r>
        <r>
          <rPr>
            <u/>
            <sz val="9"/>
            <color indexed="81"/>
            <rFont val="Tahoma"/>
            <family val="2"/>
            <charset val="238"/>
          </rPr>
          <t>zużycia</t>
        </r>
        <r>
          <rPr>
            <sz val="9"/>
            <color indexed="81"/>
            <rFont val="Tahoma"/>
            <family val="2"/>
            <charset val="238"/>
          </rPr>
          <t xml:space="preserve"> energii, np. do ładowania pojazdów elektrycznych. 
Krajowe wskaźniki emisyjności dla sieciowej energii elektrycznej (national grid factors) są przedstawione w raportach KOBiZE w rozdziale 2, strona 4, tabela "Wskaźniki emisji w [kg/MWh] dla odbiorców końcowych energii elektrycznej". 
Według KOBiZE, wskaźnik emisyjności CO2 dla sieciowej energii elektrycznej za 2019 rok wynosił 719 kg/MWh, tzn. mniej o –6,01% niż w roku 2018. </t>
        </r>
      </text>
    </comment>
    <comment ref="P71" authorId="0" shapeId="0">
      <text>
        <r>
          <rPr>
            <sz val="9"/>
            <color indexed="81"/>
            <rFont val="Tahoma"/>
            <family val="2"/>
            <charset val="238"/>
          </rPr>
          <t xml:space="preserve">Uwaga, dla pociągów osobowych zużycie energii i emisje są określone na miejsco-kilometr. </t>
        </r>
      </text>
    </comment>
    <comment ref="B104" authorId="0" shapeId="0">
      <text>
        <r>
          <rPr>
            <sz val="9"/>
            <color indexed="81"/>
            <rFont val="Tahoma"/>
            <family val="2"/>
            <charset val="238"/>
          </rPr>
          <t xml:space="preserve">Uwaga, dla pociągów osobowych zużycie energii i emisje są określone na miejsco-kilometr. </t>
        </r>
      </text>
    </comment>
  </commentList>
</comments>
</file>

<file path=xl/comments6.xml><?xml version="1.0" encoding="utf-8"?>
<comments xmlns="http://schemas.openxmlformats.org/spreadsheetml/2006/main">
  <authors>
    <author>Piotr Mierzejewski</author>
  </authors>
  <commentList>
    <comment ref="S35" authorId="0" shapeId="0">
      <text>
        <r>
          <rPr>
            <sz val="9"/>
            <color indexed="81"/>
            <rFont val="Tahoma"/>
            <family val="2"/>
            <charset val="238"/>
          </rPr>
          <t xml:space="preserve">Proporcja Polska/ UE-28 obliczona na podstawie średnich kosztów jednostkowych, zastosowana do krańcowych kosztów jednostkowych. </t>
        </r>
      </text>
    </comment>
    <comment ref="Q67" authorId="0" shapeId="0">
      <text>
        <r>
          <rPr>
            <sz val="9"/>
            <color indexed="81"/>
            <rFont val="Tahoma"/>
            <family val="2"/>
            <charset val="238"/>
          </rPr>
          <t xml:space="preserve">W opracowaniu źródłowym brak wartości parametru dla samochodów dostawczych ogółem dla Polski, są natomiast parametry określone osobno dla samochodów dostawczych z silnikiem benzynowym i z silnikiem wysokoprężnym. Zastosowano więc </t>
        </r>
        <r>
          <rPr>
            <u/>
            <sz val="9"/>
            <color indexed="81"/>
            <rFont val="Tahoma"/>
            <family val="2"/>
            <charset val="238"/>
          </rPr>
          <t>średnią ważoną</t>
        </r>
        <r>
          <rPr>
            <sz val="9"/>
            <color indexed="81"/>
            <rFont val="Tahoma"/>
            <family val="2"/>
            <charset val="238"/>
          </rPr>
          <t xml:space="preserve"> z wykorzystaniem dostępnych danych o pracy eksploatacyjnej tej kategorii samochodów w Polsce, z uwzględnieniem podziału według rodzaju paliwa. </t>
        </r>
      </text>
    </comment>
  </commentList>
</comments>
</file>

<file path=xl/comments7.xml><?xml version="1.0" encoding="utf-8"?>
<comments xmlns="http://schemas.openxmlformats.org/spreadsheetml/2006/main">
  <authors>
    <author>Piotr Mierzejewski</author>
  </authors>
  <commentList>
    <comment ref="S6" authorId="0" shapeId="0">
      <text>
        <r>
          <rPr>
            <sz val="9"/>
            <color indexed="81"/>
            <rFont val="Tahoma"/>
            <family val="2"/>
            <charset val="238"/>
          </rPr>
          <t xml:space="preserve">Proporcja Polska/ UE-28 obliczona na podstawie średnich kosztów jednostkowych, zastosowana do krańcowych kosztów jednostkowych. </t>
        </r>
      </text>
    </comment>
  </commentList>
</comments>
</file>

<file path=xl/comments8.xml><?xml version="1.0" encoding="utf-8"?>
<comments xmlns="http://schemas.openxmlformats.org/spreadsheetml/2006/main">
  <authors>
    <author>Piotr Mierzejewski</author>
  </authors>
  <commentList>
    <comment ref="A11" authorId="0" shapeId="0">
      <text>
        <r>
          <rPr>
            <sz val="9"/>
            <color indexed="81"/>
            <rFont val="Tahoma"/>
            <family val="2"/>
            <charset val="238"/>
          </rPr>
          <t xml:space="preserve">W źródłowym opracowaniu Handbook on the External Costs of Transport, EC (2019) i w załączonych do niego plikach </t>
        </r>
        <r>
          <rPr>
            <u/>
            <sz val="9"/>
            <color indexed="81"/>
            <rFont val="Tahoma"/>
            <family val="2"/>
            <charset val="238"/>
          </rPr>
          <t>brak współczynników jednostkowej emisyjności środków transportu</t>
        </r>
        <r>
          <rPr>
            <sz val="9"/>
            <color indexed="81"/>
            <rFont val="Tahoma"/>
            <family val="2"/>
            <charset val="238"/>
          </rPr>
          <t xml:space="preserve"> pod względem poszczególnych rodzajów zanieczyszczeń powietrza [t / poj-km] (por. pkt 4.3.2 Input values, Table 13 – Data sources for the emissions of air pollutants for different transport modes). Brak też danych potrzebnych do określenia tych współczynników. Stąd ograniczenie w zastosowaniu poniższych stawek tylko do niektórych typów projektów, w których emisyjność środków transportu jest w ich specyfikacji. 
Dane dostępne w alternatywnym opracowaniu źródłowym „Opracowanie metodyki i oszacowanie kosztów zewnętrznych emisji zanieczyszczeń do powietrza atmosferycznego ze środków transportu drogowego na poziomie kraju”, GUS, 2018 (data publikacji: 26.02.2019), tzn. [1] Ilość zanieczyszczeń z transportu drogowego według rodzaju pojazdów oraz [2] liczba i średni przebieg roczny rodzajów pojazdów drogowych </t>
        </r>
        <r>
          <rPr>
            <u/>
            <sz val="9"/>
            <color indexed="81"/>
            <rFont val="Tahoma"/>
            <family val="2"/>
            <charset val="238"/>
          </rPr>
          <t>pozwalają na obliczenie współczynników jednostkowej emisyjności pojazdów drogowych</t>
        </r>
        <r>
          <rPr>
            <sz val="9"/>
            <color indexed="81"/>
            <rFont val="Tahoma"/>
            <family val="2"/>
            <charset val="238"/>
          </rPr>
          <t xml:space="preserve"> pod względem poszczególnych rodzajów zanieczyszczeń powietrza [t / poj-km], ale bez emisji NH3 i SO2 (dla których są koszty jednostkowe [€/kg emisji] w ECT Handbook 2019). Dane te umożliwiają też obliczenie współczynników emisyjności CO, dla którego jednak brak kosztu jednostkowego w ECT Handbook 2019. </t>
        </r>
      </text>
    </comment>
  </commentList>
</comments>
</file>

<file path=xl/comments9.xml><?xml version="1.0" encoding="utf-8"?>
<comments xmlns="http://schemas.openxmlformats.org/spreadsheetml/2006/main">
  <authors>
    <author>Piotr Mierzejewski</author>
  </authors>
  <commentList>
    <comment ref="T20" authorId="0" shapeId="0">
      <text>
        <r>
          <rPr>
            <sz val="9"/>
            <color indexed="81"/>
            <rFont val="Tahoma"/>
            <family val="2"/>
            <charset val="238"/>
          </rPr>
          <t xml:space="preserve">Proporcja Polska/ UE-28 obliczona na podstawie średnich kosztów jednostkowych, zastosowana do krańcowych kosztów jednostkowych. </t>
        </r>
      </text>
    </comment>
    <comment ref="T49" authorId="0" shapeId="0">
      <text>
        <r>
          <rPr>
            <sz val="9"/>
            <color indexed="81"/>
            <rFont val="Tahoma"/>
            <family val="2"/>
            <charset val="238"/>
          </rPr>
          <t xml:space="preserve">W opracowaniu źródłowym brak wartości parametru dla pociągów pasażerskich międzyaglomeracyjnych. Zastępczo zastosowano </t>
        </r>
        <r>
          <rPr>
            <u/>
            <sz val="9"/>
            <color indexed="81"/>
            <rFont val="Tahoma"/>
            <family val="2"/>
            <charset val="238"/>
          </rPr>
          <t>średnią arytmetyczną</t>
        </r>
        <r>
          <rPr>
            <sz val="9"/>
            <color indexed="81"/>
            <rFont val="Tahoma"/>
            <family val="2"/>
            <charset val="238"/>
          </rPr>
          <t xml:space="preserve"> dla pociągów pasażerskich elektrycznych i spalinowych. </t>
        </r>
      </text>
    </comment>
    <comment ref="T53" authorId="0" shapeId="0">
      <text>
        <r>
          <rPr>
            <sz val="9"/>
            <color indexed="81"/>
            <rFont val="Tahoma"/>
            <family val="2"/>
            <charset val="238"/>
          </rPr>
          <t xml:space="preserve">W opracowaniu źródłowym brak wartości parametru dla pociągów towarowych ogółem. Zastępczo zastosowano </t>
        </r>
        <r>
          <rPr>
            <u/>
            <sz val="9"/>
            <color indexed="81"/>
            <rFont val="Tahoma"/>
            <family val="2"/>
            <charset val="238"/>
          </rPr>
          <t>średnią arytmetyczną</t>
        </r>
        <r>
          <rPr>
            <sz val="9"/>
            <color indexed="81"/>
            <rFont val="Tahoma"/>
            <family val="2"/>
            <charset val="238"/>
          </rPr>
          <t xml:space="preserve"> dla pociągów towarowych elektrycznych i spalinowych. </t>
        </r>
      </text>
    </comment>
  </commentList>
</comments>
</file>

<file path=xl/sharedStrings.xml><?xml version="1.0" encoding="utf-8"?>
<sst xmlns="http://schemas.openxmlformats.org/spreadsheetml/2006/main" count="2023" uniqueCount="937">
  <si>
    <t>Koniec roku:</t>
  </si>
  <si>
    <t>Koszty jednostkowe zmian klimatu</t>
  </si>
  <si>
    <t>Kurs wymiany (średnioroczny)</t>
  </si>
  <si>
    <t>EUR/PLN</t>
  </si>
  <si>
    <t>Źródło: ECB, http://sdw.ecb.europa.eu/quickview.do?SERIES_KEY=120.EXR.A.PLN.EUR.SP00.A</t>
  </si>
  <si>
    <t>Inflacja średnioroczna CPI dla Polski</t>
  </si>
  <si>
    <t>HGV</t>
  </si>
  <si>
    <t>Teren płaski</t>
  </si>
  <si>
    <t>Nawierzchnia nowa</t>
  </si>
  <si>
    <t>Nawierzchnia zdegradowana</t>
  </si>
  <si>
    <t>LV</t>
  </si>
  <si>
    <t>km/h</t>
  </si>
  <si>
    <t>Falisty</t>
  </si>
  <si>
    <t>Płaski</t>
  </si>
  <si>
    <t>Inflacja średnioroczna CPI dla Polski, GUS, wskaźnik (rok poprzedni =100)</t>
  </si>
  <si>
    <t>Zmiana liczby ludności, wskaźnik (rok poprzedni =1)</t>
  </si>
  <si>
    <t>Zmiana liczby ludności Polski, wskaźnik (rok poprzedni =1)</t>
  </si>
  <si>
    <t>Źródło: Opracowanie własne CUPT</t>
  </si>
  <si>
    <r>
      <t xml:space="preserve">WSPÓŁCZYNNIKI INDEKSACJI WARTOŚCI PIENIĘŻNYCH </t>
    </r>
    <r>
      <rPr>
        <b/>
        <u/>
        <sz val="12"/>
        <rFont val="Calibri"/>
        <family val="2"/>
        <charset val="238"/>
        <scheme val="minor"/>
      </rPr>
      <t>NA KONIEC DANEGO ROKU</t>
    </r>
  </si>
  <si>
    <t>Jest tak, ponieważ wg wytycznych dot. AKK przy dyskontowaniu przyjmuje się, że przepływy pieniężne przypadają na początek okresów rocznych (dla roku bazowego współczynnik dyskonta wynosi 1).</t>
  </si>
  <si>
    <t>DANE ŹRÓDŁOWE</t>
  </si>
  <si>
    <t>Źródło: Obliczenia własne CUPT na podst. GUS, https://stat.gov.pl/wskazniki-makroekonomiczne/</t>
  </si>
  <si>
    <t>EUR/PLN kurs wymiany (średnioroczny)</t>
  </si>
  <si>
    <t>VOC, koszty eksploatacji pojazdów</t>
  </si>
  <si>
    <t>inflacja PL do roku bazowego</t>
  </si>
  <si>
    <t>[PLN/poj-km]</t>
  </si>
  <si>
    <t>Teren</t>
  </si>
  <si>
    <t>Mnożniki nachylenia podłużnego drogi</t>
  </si>
  <si>
    <t>Mnożniki jakości nawierzchni drogi</t>
  </si>
  <si>
    <t>Koszty jednostkowe zmian klimatu, transport drogowy</t>
  </si>
  <si>
    <t>Koszty jednostkowe zmian klimatu, transport kolejowy</t>
  </si>
  <si>
    <t>[PLN/poc-km]</t>
  </si>
  <si>
    <r>
      <t>Rekomendowane przez EBI stawki jednostkowe kosztu ukrytego zmiany klimatu (€</t>
    </r>
    <r>
      <rPr>
        <vertAlign val="subscript"/>
        <sz val="11"/>
        <color theme="1"/>
        <rFont val="Calibri"/>
        <family val="2"/>
        <charset val="238"/>
        <scheme val="minor"/>
      </rPr>
      <t>2016</t>
    </r>
    <r>
      <rPr>
        <sz val="11"/>
        <color theme="1"/>
        <rFont val="Calibri"/>
        <family val="2"/>
        <charset val="238"/>
        <scheme val="minor"/>
      </rPr>
      <t>/tCO</t>
    </r>
    <r>
      <rPr>
        <vertAlign val="subscript"/>
        <sz val="11"/>
        <color theme="1"/>
        <rFont val="Calibri"/>
        <family val="2"/>
        <charset val="238"/>
        <scheme val="minor"/>
      </rPr>
      <t>2</t>
    </r>
    <r>
      <rPr>
        <sz val="11"/>
        <color theme="1"/>
        <rFont val="Calibri"/>
        <family val="2"/>
        <charset val="238"/>
        <scheme val="minor"/>
      </rPr>
      <t>e) dla okresu 2020-2050</t>
    </r>
  </si>
  <si>
    <t>Przelicznik MJ --&gt; kWh</t>
  </si>
  <si>
    <t>Pociągi pasażerskie elektryczne</t>
  </si>
  <si>
    <t>Pociągi towarowe elektryczne</t>
  </si>
  <si>
    <t>Średnio, wszystkie rodzaje</t>
  </si>
  <si>
    <t>Pociągi dużej prędkości</t>
  </si>
  <si>
    <t>Średnio, wszystkie rodzaje 
(1000t - 21 wagonów)</t>
  </si>
  <si>
    <t>Kontenerowe 
(1000t - 21 wagonów)</t>
  </si>
  <si>
    <t>Masowe 
(1000t - 18 wagonów)</t>
  </si>
  <si>
    <t>[PLN/msc-km]</t>
  </si>
  <si>
    <t>Gabarytowe 
(1000t - 26 wagonów)</t>
  </si>
  <si>
    <t>Regionalne/ Podmiejskie</t>
  </si>
  <si>
    <t>Międzyaglomeracyjne</t>
  </si>
  <si>
    <t>J --&gt; MJ</t>
  </si>
  <si>
    <t>W --&gt; kW</t>
  </si>
  <si>
    <t>s --&gt; h</t>
  </si>
  <si>
    <t xml:space="preserve">Pojazdy drogowe, 
elektryczne i hybrydowe-elektryczne: </t>
  </si>
  <si>
    <t>Zużycie energii 
(kWh/ poj-km)</t>
  </si>
  <si>
    <t>Samochód osobowy, hybrydowy benzyna +elektryczny</t>
  </si>
  <si>
    <t>Przeciętnie</t>
  </si>
  <si>
    <t>Obszar miejski</t>
  </si>
  <si>
    <t>Samochód osobowy, elektryczny (średni rozmiar)</t>
  </si>
  <si>
    <t>Autobus miejski, hybrydowy diesel +elektryczny (standardowy)</t>
  </si>
  <si>
    <t>Autobus miejski, elektryczny (standardowy)</t>
  </si>
  <si>
    <t>Pociągi pasażerskie, elektryczne:</t>
  </si>
  <si>
    <t>Pociągi towarowe, elektryczne:</t>
  </si>
  <si>
    <t>Zużycie energii 
(MJ/ msc-km)</t>
  </si>
  <si>
    <t>Zużycie energii 
(MJ/ poc-km)</t>
  </si>
  <si>
    <r>
      <t>Wartość (€</t>
    </r>
    <r>
      <rPr>
        <vertAlign val="subscript"/>
        <sz val="11"/>
        <color theme="1"/>
        <rFont val="Calibri"/>
        <family val="2"/>
        <charset val="238"/>
        <scheme val="minor"/>
      </rPr>
      <t>2016</t>
    </r>
    <r>
      <rPr>
        <sz val="11"/>
        <color theme="1"/>
        <rFont val="Calibri"/>
        <family val="2"/>
        <charset val="238"/>
        <scheme val="minor"/>
      </rPr>
      <t>/tCO</t>
    </r>
    <r>
      <rPr>
        <vertAlign val="subscript"/>
        <sz val="11"/>
        <color theme="1"/>
        <rFont val="Calibri"/>
        <family val="2"/>
        <charset val="238"/>
        <scheme val="minor"/>
      </rPr>
      <t>2</t>
    </r>
    <r>
      <rPr>
        <sz val="11"/>
        <color theme="1"/>
        <rFont val="Calibri"/>
        <family val="2"/>
        <charset val="238"/>
        <scheme val="minor"/>
      </rPr>
      <t>e)</t>
    </r>
  </si>
  <si>
    <t xml:space="preserve">Źródło: Obliczenia własne na podstawie: </t>
  </si>
  <si>
    <t>Polska</t>
  </si>
  <si>
    <r>
      <t>Wskaźniki emisyjności [g CO</t>
    </r>
    <r>
      <rPr>
        <b/>
        <vertAlign val="subscript"/>
        <sz val="11"/>
        <color theme="1"/>
        <rFont val="Calibri"/>
        <family val="2"/>
        <charset val="238"/>
        <scheme val="minor"/>
      </rPr>
      <t>2</t>
    </r>
    <r>
      <rPr>
        <b/>
        <sz val="11"/>
        <color theme="1"/>
        <rFont val="Calibri"/>
        <family val="2"/>
        <charset val="238"/>
        <scheme val="minor"/>
      </rPr>
      <t>(e)/ poj-km]</t>
    </r>
  </si>
  <si>
    <t>Wskaźniki emisyjności transportu</t>
  </si>
  <si>
    <t>Transport drogowy</t>
  </si>
  <si>
    <t>Pierwotne źródło danych wykazane w "EIB Project Carbon Footprint Methodologies": COPERT (narzędzie do obliczania emisji opracowane przez EEA) completed with STREAM (CE DELFT)</t>
  </si>
  <si>
    <t>Pierwotne źródło danych wykazane w "EIB Project Carbon Footprint Methodologies": EcoTransIT 2018</t>
  </si>
  <si>
    <t>Źródło: "EIB Project Carbon Footprint Methodologies", lipiec 2020, Tables A1.7 Transport Emissions Factors - Rail freight transport</t>
  </si>
  <si>
    <t>Transport kolejowy pasażerski</t>
  </si>
  <si>
    <t>Transport kolejowy towarowy</t>
  </si>
  <si>
    <t>Samochody osobowe</t>
  </si>
  <si>
    <t>Rodzaj paliwa</t>
  </si>
  <si>
    <t>Olej napędowy</t>
  </si>
  <si>
    <t>Gaz CNG</t>
  </si>
  <si>
    <t>Gaz LPG</t>
  </si>
  <si>
    <t>Benzyna</t>
  </si>
  <si>
    <t>Elektryczne</t>
  </si>
  <si>
    <t xml:space="preserve">Dla potrzeb analizy projektów przedstawianych do oceny przez CUPT należy przyjąć następujące założenia: </t>
  </si>
  <si>
    <t>koniec 2019</t>
  </si>
  <si>
    <t>Gaz ciekły (LPG)</t>
  </si>
  <si>
    <t>Gaz ziemny sprężony (CNG)</t>
  </si>
  <si>
    <t>Energia elektryczna</t>
  </si>
  <si>
    <t>RAZEM</t>
  </si>
  <si>
    <t>Ciągniki siodłowe</t>
  </si>
  <si>
    <t>Autobusy 
(oprócz miejskich)</t>
  </si>
  <si>
    <t>Suma powyższych</t>
  </si>
  <si>
    <t>Struktura floty pojazdów LV</t>
  </si>
  <si>
    <t>Struktura floty pojazdów HGV</t>
  </si>
  <si>
    <t>Spalinowe (olej napędowy)</t>
  </si>
  <si>
    <t>Hybrydowe (paliwa +elektryczne)</t>
  </si>
  <si>
    <t>Źródło: Obliczenia własne</t>
  </si>
  <si>
    <t>Koszty jednostkowe eksploatacji pojazdów w transporcie drogowym</t>
  </si>
  <si>
    <t>Samoch. ciężarowe</t>
  </si>
  <si>
    <t>Inflacja średnioroczna CPI dla Polski, skumulowana od 2019</t>
  </si>
  <si>
    <t>PLN/kWh</t>
  </si>
  <si>
    <t>Źródło: Eurostat, Electricity prices components for non-household consumers - annual data, https://ec.europa.eu/eurostat/databrowser/view/NRG_PC_205_C__custom_519166/default/table?lang=en</t>
  </si>
  <si>
    <t>Energia elektryczna dla konsumentów nie będących gospodarstwami domowymi, średnia ważona dla wszystkich poziomów zużycia</t>
  </si>
  <si>
    <t>Zużycie energii 
(kWh/ msc-km)</t>
  </si>
  <si>
    <t>Zużycie energii 
(kWh/ poc-km)</t>
  </si>
  <si>
    <t>Zużycie energii 
(MJ/ poj-km)</t>
  </si>
  <si>
    <t>Koszt jednostkowy energii elektrycznej do silników samochodowych</t>
  </si>
  <si>
    <t>Koszty jednostkowe posiadania samochodu elektrycznego</t>
  </si>
  <si>
    <t>[PLN/ poj-km]</t>
  </si>
  <si>
    <t>LV spalinowe</t>
  </si>
  <si>
    <t>HGV spalinowe</t>
  </si>
  <si>
    <t>LV elektryczne</t>
  </si>
  <si>
    <t>Autobus miejski</t>
  </si>
  <si>
    <t>Mnożniki do uwzględnienia</t>
  </si>
  <si>
    <t>Nawierzchnia</t>
  </si>
  <si>
    <t>Nowa</t>
  </si>
  <si>
    <t>Zdegradowana</t>
  </si>
  <si>
    <t>Struktura floty samochodów ciężarowych</t>
  </si>
  <si>
    <t>Scenariusz ETSeq:</t>
  </si>
  <si>
    <t>Scenariusz TechPro:</t>
  </si>
  <si>
    <t>Scenariusz ProETSeq:</t>
  </si>
  <si>
    <t>Struktura floty samochodów osobowych, przyjęty scenariusz Bazowy</t>
  </si>
  <si>
    <t>Struktura floty samochodów osobowych, Scenariusz Bazowy:</t>
  </si>
  <si>
    <t>Koszty jednostkowe zanieczyszczenia powietrza, transport drogowy</t>
  </si>
  <si>
    <t>Drogi szybkiego ruchu (A, S)</t>
  </si>
  <si>
    <t>€-cent/ poj-km (€2016)</t>
  </si>
  <si>
    <t>Gaz</t>
  </si>
  <si>
    <t>Autobusy miejskie, spalinowe</t>
  </si>
  <si>
    <t>Samochody osobowe, spalinowe</t>
  </si>
  <si>
    <t>PLN/ poj-km</t>
  </si>
  <si>
    <t>Przelicznik €-cent --&gt; €</t>
  </si>
  <si>
    <t xml:space="preserve">Według opracowania źródłowego, poniższe mnożniki dotyczą wszystkich kategorii kosztów użytkowników dróg, oprócz kosztów czasu. </t>
  </si>
  <si>
    <t>Drogi miejskie inne niż A, S</t>
  </si>
  <si>
    <t>Drogi zamiejskie inne niż A, S</t>
  </si>
  <si>
    <t>&lt;50 km/h</t>
  </si>
  <si>
    <t>&gt;100 km/h</t>
  </si>
  <si>
    <r>
      <t>NO</t>
    </r>
    <r>
      <rPr>
        <vertAlign val="subscript"/>
        <sz val="11"/>
        <color theme="1"/>
        <rFont val="Calibri"/>
        <family val="2"/>
        <charset val="238"/>
        <scheme val="minor"/>
      </rPr>
      <t>x</t>
    </r>
  </si>
  <si>
    <t>NMVOC</t>
  </si>
  <si>
    <r>
      <t>SO</t>
    </r>
    <r>
      <rPr>
        <vertAlign val="subscript"/>
        <sz val="11"/>
        <color theme="1"/>
        <rFont val="Calibri"/>
        <family val="2"/>
        <charset val="238"/>
        <scheme val="minor"/>
      </rPr>
      <t>2</t>
    </r>
  </si>
  <si>
    <r>
      <t>PM</t>
    </r>
    <r>
      <rPr>
        <vertAlign val="subscript"/>
        <sz val="11"/>
        <color theme="1"/>
        <rFont val="Calibri"/>
        <family val="2"/>
        <charset val="238"/>
        <scheme val="minor"/>
      </rPr>
      <t>2.5</t>
    </r>
  </si>
  <si>
    <t>€2016/kg</t>
  </si>
  <si>
    <r>
      <t>NH</t>
    </r>
    <r>
      <rPr>
        <vertAlign val="subscript"/>
        <sz val="11"/>
        <color theme="1"/>
        <rFont val="Calibri"/>
        <family val="2"/>
        <charset val="238"/>
        <scheme val="minor"/>
      </rPr>
      <t>3</t>
    </r>
  </si>
  <si>
    <r>
      <t>PM</t>
    </r>
    <r>
      <rPr>
        <vertAlign val="subscript"/>
        <sz val="11"/>
        <color theme="1"/>
        <rFont val="Calibri"/>
        <family val="2"/>
        <charset val="238"/>
        <scheme val="minor"/>
      </rPr>
      <t>10</t>
    </r>
  </si>
  <si>
    <t>transport</t>
  </si>
  <si>
    <t>city (*)</t>
  </si>
  <si>
    <t>rural (*)</t>
  </si>
  <si>
    <t>metropole (*)</t>
  </si>
  <si>
    <t>average (**)</t>
  </si>
  <si>
    <t>EU-28</t>
  </si>
  <si>
    <t>Poland</t>
  </si>
  <si>
    <r>
      <t xml:space="preserve">Zestawienie uwzględnia </t>
    </r>
    <r>
      <rPr>
        <u/>
        <sz val="11"/>
        <color theme="1"/>
        <rFont val="Calibri"/>
        <family val="2"/>
        <charset val="238"/>
        <scheme val="minor"/>
      </rPr>
      <t>koszty jednostkowe średnie</t>
    </r>
    <r>
      <rPr>
        <sz val="11"/>
        <color theme="1"/>
        <rFont val="Calibri"/>
        <family val="2"/>
        <charset val="238"/>
        <scheme val="minor"/>
      </rPr>
      <t xml:space="preserve"> (nie krańcowe). </t>
    </r>
  </si>
  <si>
    <r>
      <t>NO</t>
    </r>
    <r>
      <rPr>
        <vertAlign val="subscript"/>
        <sz val="11"/>
        <color theme="1"/>
        <rFont val="Calibri"/>
        <family val="2"/>
        <charset val="238"/>
        <scheme val="minor"/>
      </rPr>
      <t>x</t>
    </r>
    <r>
      <rPr>
        <sz val="11"/>
        <color theme="1"/>
        <rFont val="Calibri"/>
        <family val="2"/>
        <charset val="238"/>
        <scheme val="minor"/>
      </rPr>
      <t xml:space="preserve"> transport, obszar miejski</t>
    </r>
  </si>
  <si>
    <r>
      <t>NO</t>
    </r>
    <r>
      <rPr>
        <vertAlign val="subscript"/>
        <sz val="11"/>
        <color theme="1"/>
        <rFont val="Calibri"/>
        <family val="2"/>
        <charset val="238"/>
        <scheme val="minor"/>
      </rPr>
      <t>x</t>
    </r>
    <r>
      <rPr>
        <sz val="11"/>
        <color theme="1"/>
        <rFont val="Calibri"/>
        <family val="2"/>
        <charset val="238"/>
        <scheme val="minor"/>
      </rPr>
      <t xml:space="preserve"> transport, obszar zamiejski</t>
    </r>
  </si>
  <si>
    <r>
      <t>PM</t>
    </r>
    <r>
      <rPr>
        <vertAlign val="subscript"/>
        <sz val="11"/>
        <color theme="1"/>
        <rFont val="Calibri"/>
        <family val="2"/>
        <charset val="238"/>
        <scheme val="minor"/>
      </rPr>
      <t>2.5</t>
    </r>
    <r>
      <rPr>
        <sz val="11"/>
        <color theme="1"/>
        <rFont val="Calibri"/>
        <family val="2"/>
        <charset val="238"/>
        <scheme val="minor"/>
      </rPr>
      <t xml:space="preserve"> transport, obszar miejski</t>
    </r>
  </si>
  <si>
    <r>
      <t>PM</t>
    </r>
    <r>
      <rPr>
        <vertAlign val="subscript"/>
        <sz val="11"/>
        <color theme="1"/>
        <rFont val="Calibri"/>
        <family val="2"/>
        <charset val="238"/>
        <scheme val="minor"/>
      </rPr>
      <t>2.5</t>
    </r>
    <r>
      <rPr>
        <sz val="11"/>
        <color theme="1"/>
        <rFont val="Calibri"/>
        <family val="2"/>
        <charset val="238"/>
        <scheme val="minor"/>
      </rPr>
      <t xml:space="preserve"> transport, obszar zamiejski</t>
    </r>
  </si>
  <si>
    <r>
      <t>PM</t>
    </r>
    <r>
      <rPr>
        <vertAlign val="subscript"/>
        <sz val="11"/>
        <color theme="1"/>
        <rFont val="Calibri"/>
        <family val="2"/>
        <charset val="238"/>
        <scheme val="minor"/>
      </rPr>
      <t>10</t>
    </r>
    <r>
      <rPr>
        <sz val="11"/>
        <color theme="1"/>
        <rFont val="Calibri"/>
        <family val="2"/>
        <charset val="238"/>
        <scheme val="minor"/>
      </rPr>
      <t xml:space="preserve"> transport średnio</t>
    </r>
  </si>
  <si>
    <t>Samochody ciężarowe, spalinowe (olej napędowy)</t>
  </si>
  <si>
    <t>LV elektryczne i hybrydowe-elektryczne</t>
  </si>
  <si>
    <t>HGV spalinowe (olej napędowy)</t>
  </si>
  <si>
    <t>Pojazdy drogowe spalinowe</t>
  </si>
  <si>
    <t>Autobusy miejskie elektryczne</t>
  </si>
  <si>
    <t>Jednostkowe koszty eksploatacji pojazdów [PLN/pojkm]</t>
  </si>
  <si>
    <t xml:space="preserve">Podane stawki jednostkowe kosztów obejmują: </t>
  </si>
  <si>
    <t>Koszty jednostkowe hałasu w transporcie lądowym</t>
  </si>
  <si>
    <t>autokary</t>
  </si>
  <si>
    <t>Udziały rodzajów pojazdów do określenia uśrednionych stawek kosztów jednostkowych</t>
  </si>
  <si>
    <t>autobusy miejskie (*)</t>
  </si>
  <si>
    <t>Samochody ciężarowe</t>
  </si>
  <si>
    <t>Kategoria</t>
  </si>
  <si>
    <t>Klasa</t>
  </si>
  <si>
    <t>Liczba</t>
  </si>
  <si>
    <t>Średni przebieg roczny</t>
  </si>
  <si>
    <t>szt.</t>
  </si>
  <si>
    <t>km</t>
  </si>
  <si>
    <t>poj-km</t>
  </si>
  <si>
    <t>Zagospodarowanie obszaru</t>
  </si>
  <si>
    <t>Miejski</t>
  </si>
  <si>
    <t>Zamiejski</t>
  </si>
  <si>
    <t>€-cent/ poj-km</t>
  </si>
  <si>
    <t>Samochody dostawcze</t>
  </si>
  <si>
    <t>Autobusy miejskie</t>
  </si>
  <si>
    <t>Autokary</t>
  </si>
  <si>
    <t>Praca eksploatacyjna</t>
  </si>
  <si>
    <t>Autokary, spalinowe</t>
  </si>
  <si>
    <t>Samochody dostawcze, spalinowe</t>
  </si>
  <si>
    <t>Wyżej wymienione koszty jednostkowe zdarzeń drogowych są właściwe dla sieci TEN-T.</t>
  </si>
  <si>
    <t>Wypadki</t>
  </si>
  <si>
    <t>Zabici</t>
  </si>
  <si>
    <t>Ranni</t>
  </si>
  <si>
    <t>Ciężko ranni</t>
  </si>
  <si>
    <t>Dostępne statystyki obejmują tylko kolizje zgłoszone Policji. W Polsce nie ma obowiązku zgłaszania zaistnienia kolizji do Policji.</t>
  </si>
  <si>
    <t>Lekko ranni</t>
  </si>
  <si>
    <t>Ofiara śmiertelna</t>
  </si>
  <si>
    <t>Ofiara ciężko ranna</t>
  </si>
  <si>
    <t>Ofiara lekko ranna</t>
  </si>
  <si>
    <t>Ofiara ranna (średni koszt)</t>
  </si>
  <si>
    <t>UE-28</t>
  </si>
  <si>
    <t>Polska/ UE-28</t>
  </si>
  <si>
    <t>Samochody</t>
  </si>
  <si>
    <t>Pociągi</t>
  </si>
  <si>
    <t>Poc. pasażerskie dużych prędkości</t>
  </si>
  <si>
    <t>Poc. pasażerskie elektryczne</t>
  </si>
  <si>
    <t>Pociągi pasażerskie, spalinowe (olej napędowy):</t>
  </si>
  <si>
    <t>Pociągi towarowe, spalinowe (olej napędowy):</t>
  </si>
  <si>
    <t>Pociągi pasażerskie spalinowe (olej napędowy)</t>
  </si>
  <si>
    <t>Pociągi towarowe spalinowe (olej napędowy)</t>
  </si>
  <si>
    <t>Poc. pasażerskie spalinowe (olej napędowy)</t>
  </si>
  <si>
    <t>Poc. towarowe elektryczne</t>
  </si>
  <si>
    <t>Poc. towarowe spalinowe (olej napędowy)</t>
  </si>
  <si>
    <t>brak</t>
  </si>
  <si>
    <t>Średnie koszty jednostkowe hałasu 2016 €-cent/ poj-km, do indeksacji</t>
  </si>
  <si>
    <r>
      <t xml:space="preserve">Koszty jednostkowe hałasu w transporcie lądowym </t>
    </r>
    <r>
      <rPr>
        <b/>
        <sz val="16"/>
        <rFont val="Calibri"/>
        <family val="2"/>
        <charset val="238"/>
      </rPr>
      <t>–</t>
    </r>
    <r>
      <rPr>
        <b/>
        <sz val="16"/>
        <rFont val="Calibri"/>
        <family val="2"/>
        <charset val="238"/>
        <scheme val="minor"/>
      </rPr>
      <t xml:space="preserve"> zdezagregowane</t>
    </r>
  </si>
  <si>
    <t>Krańcowe koszty jednostkowe hałasu 2016 €-cent/ poj-km, do indeksacji</t>
  </si>
  <si>
    <t>Dzień</t>
  </si>
  <si>
    <t>Noc</t>
  </si>
  <si>
    <t>Pociągi pasażerskie dużych prędkości</t>
  </si>
  <si>
    <t>Pociągi pasażerskie międzyaglomeracyjne</t>
  </si>
  <si>
    <t>Pociągi towarowe</t>
  </si>
  <si>
    <t>Pojazd</t>
  </si>
  <si>
    <t>Pora dnia</t>
  </si>
  <si>
    <t>Natężenie ruchu</t>
  </si>
  <si>
    <t>Obszar zamiejski</t>
  </si>
  <si>
    <t>Wysokie</t>
  </si>
  <si>
    <t>Niskie</t>
  </si>
  <si>
    <t>Obszar 
miejski</t>
  </si>
  <si>
    <t>Obszar 
zamiejski</t>
  </si>
  <si>
    <t>Samochody ciężarowe, wyszczególnienie</t>
  </si>
  <si>
    <t>Samochody ciężarowe ogółem 
(wyszczególnienie poniżej)</t>
  </si>
  <si>
    <t>Polska/ 
UE-28</t>
  </si>
  <si>
    <t>SAMOCHODY:</t>
  </si>
  <si>
    <t xml:space="preserve">POCIĄGI: </t>
  </si>
  <si>
    <t>POCIĄGI:</t>
  </si>
  <si>
    <t>Średnio</t>
  </si>
  <si>
    <t>Przelicznik kg --&gt; tony</t>
  </si>
  <si>
    <t>Metropolia (*)</t>
  </si>
  <si>
    <t xml:space="preserve">Obszar metropolitalny (*) </t>
  </si>
  <si>
    <t>Krańcowe koszty jednostkowe zanieczyszczenia powietrza 2016 €-cent/ poj-km, do indeksacji</t>
  </si>
  <si>
    <t>Ciężarowe lekkie</t>
  </si>
  <si>
    <t>Diesel</t>
  </si>
  <si>
    <t>Koszty jednostkowe zanieczyszczenia powietrza, transport kolejowy</t>
  </si>
  <si>
    <t>€-cent/ poc-km (€2016)</t>
  </si>
  <si>
    <t>Krańcowe koszty jednostkowe zanieczyszczenia powietrza 2016 €-cent/ poc-km, do indeksacji</t>
  </si>
  <si>
    <t>Pociągi pasażerskie</t>
  </si>
  <si>
    <t>PLN/ poc-km</t>
  </si>
  <si>
    <t>Poc. pasażerskie 
dużych prędkości, 
elektryczne</t>
  </si>
  <si>
    <t>Poc. pasażerskie 
międzyaglomeracyjne, 
elektryczne</t>
  </si>
  <si>
    <t>Poc. pasażerskie 
międzyaglomeracyjne, 
spalinowe (olej napędowy), EGR/SRC</t>
  </si>
  <si>
    <t>Poc. pasażerskie 
międzyaglomeracyjne, 
spalinowe (olej napędowy)</t>
  </si>
  <si>
    <t>Poc. pasażerskie regionalne, 
elektryczne</t>
  </si>
  <si>
    <t>Poc. pasażerskie regionalne, 
spalinowe (olej napędowy), EGR/SRC</t>
  </si>
  <si>
    <t>Poc. pasażerskie regionalne, 
spalinowe (olej napędowy)</t>
  </si>
  <si>
    <t>Średnie koszty jednostkowe zanieczyszczenia powietrza 2016 €-cent/ poj-km, do określenia proporcji Polska/ UE-28</t>
  </si>
  <si>
    <t>Poc. pasażerskie 
dużych prędkości</t>
  </si>
  <si>
    <t>Poc. pasażerskie, 
elektryczne ogółem</t>
  </si>
  <si>
    <t>Poc. pasażerskie, 
spalinowe (olej napędowy)</t>
  </si>
  <si>
    <t>Poc. towarowe, 
elektryczne ogółem</t>
  </si>
  <si>
    <t>Poc. towarowe, 
spalinowe (olej napędowy)</t>
  </si>
  <si>
    <t>€-cent/ poc-km</t>
  </si>
  <si>
    <t>Średnie koszty jednostkowe zanieczyszczenia powietrza 2016 €-cent/ poc-km, do określenia proporcji Polska/ UE-28</t>
  </si>
  <si>
    <r>
      <t>PM</t>
    </r>
    <r>
      <rPr>
        <vertAlign val="subscript"/>
        <sz val="11"/>
        <color theme="1"/>
        <rFont val="Calibri"/>
        <family val="2"/>
        <charset val="238"/>
        <scheme val="minor"/>
      </rPr>
      <t>2.5</t>
    </r>
    <r>
      <rPr>
        <sz val="11"/>
        <color theme="1"/>
        <rFont val="Calibri"/>
        <family val="2"/>
        <charset val="238"/>
        <scheme val="minor"/>
      </rPr>
      <t xml:space="preserve"> transport, metropolia (*)</t>
    </r>
  </si>
  <si>
    <t>Metropolia/ Obszar miejski</t>
  </si>
  <si>
    <t>Obszar zamiejski/ miejski</t>
  </si>
  <si>
    <t>dB</t>
  </si>
  <si>
    <t>55-59 dB</t>
  </si>
  <si>
    <t>60-64 dB</t>
  </si>
  <si>
    <t>65-69 dB</t>
  </si>
  <si>
    <t>70-74 dB</t>
  </si>
  <si>
    <t>&gt; 75 dB</t>
  </si>
  <si>
    <t>przedział dB(A)</t>
  </si>
  <si>
    <t>UE-28, EUR, 2016</t>
  </si>
  <si>
    <t>Polska, EUR, 2016</t>
  </si>
  <si>
    <t>Polska, PLN, 2016</t>
  </si>
  <si>
    <t>Rodzaj efektu zewnętrznego</t>
  </si>
  <si>
    <t>Trasport kolejowy</t>
  </si>
  <si>
    <t>Autobusy</t>
  </si>
  <si>
    <t>Motocykle</t>
  </si>
  <si>
    <t>Towarowy</t>
  </si>
  <si>
    <r>
      <t xml:space="preserve">Zanieczyszczenie </t>
    </r>
    <r>
      <rPr>
        <sz val="9"/>
        <color theme="1"/>
        <rFont val="Calibri"/>
        <family val="2"/>
        <charset val="238"/>
        <scheme val="minor"/>
      </rPr>
      <t>dolnych warstw atmosfery</t>
    </r>
  </si>
  <si>
    <t>Hałas</t>
  </si>
  <si>
    <t>Wskaźnik przeliczenia na statki morskie</t>
  </si>
  <si>
    <r>
      <t xml:space="preserve">Kongestia </t>
    </r>
    <r>
      <rPr>
        <sz val="9"/>
        <color theme="1"/>
        <rFont val="Calibri"/>
        <family val="2"/>
        <charset val="238"/>
        <scheme val="minor"/>
      </rPr>
      <t>(koszty opóźnień)</t>
    </r>
  </si>
  <si>
    <t>Zmiany klimatu</t>
  </si>
  <si>
    <t>2016 €-cent/ pas-km</t>
  </si>
  <si>
    <t>Pociągi pasażerskie spalinowe</t>
  </si>
  <si>
    <t>Loty krótkodystansowe</t>
  </si>
  <si>
    <t>Loty średniodystansowe</t>
  </si>
  <si>
    <t>Loty długodystansowe</t>
  </si>
  <si>
    <t>Transport lotniczy (*)</t>
  </si>
  <si>
    <t>Samochody dostawcze, benzyna</t>
  </si>
  <si>
    <t>Samochody ciężarowe ogółem</t>
  </si>
  <si>
    <t>Pociągi towarowe spalinowe</t>
  </si>
  <si>
    <t>Transport kolejowy</t>
  </si>
  <si>
    <t>Żegluga śródlądowa</t>
  </si>
  <si>
    <t>Żegluga morska</t>
  </si>
  <si>
    <t>TRANSPORT PASAŻERSKI</t>
  </si>
  <si>
    <t>TRANSPORT TOWAROWY</t>
  </si>
  <si>
    <t>2016 €-cent/ poj-km</t>
  </si>
  <si>
    <t>2016 €-cent/ ton-km</t>
  </si>
  <si>
    <t>Wskaźnik (rok poprzedni =1)</t>
  </si>
  <si>
    <t>Sam. dostawcze, olej napędowy</t>
  </si>
  <si>
    <t>PLN/ pas-km</t>
  </si>
  <si>
    <t>PLN/ ton-km</t>
  </si>
  <si>
    <t>Średnie koszty jednostkowe, Polska, 2016 €-cent</t>
  </si>
  <si>
    <t>Zużycie paliwa [ltr/ poj-km]</t>
  </si>
  <si>
    <t>Koszt jednostkowy paliwa do silników samochodowych</t>
  </si>
  <si>
    <t>PLN/ltr</t>
  </si>
  <si>
    <t>Olej napędowy ON</t>
  </si>
  <si>
    <t>Źródło: https://www.autocentrum.pl/paliwa/ceny-paliw/</t>
  </si>
  <si>
    <t>http://climatecake.pl/wp-content/uploads/2020/10/%C5%9Acie%C5%BCki-redukcji-emisji-CO2-w-sektorze-transportu-w-PL-w-kontek%C5%9Bcie-Europejskiego-Zielonego-%C5%81adu.pdf</t>
  </si>
  <si>
    <t>Średni koszt jednostkowy paliwa, bez podatków i opłat, wartości nominalne wg poziomu cenowego 2019</t>
  </si>
  <si>
    <t>Paliwo dla LV spalinowych, średnio</t>
  </si>
  <si>
    <t>Paliwo dla HGV spalinowych, średnio</t>
  </si>
  <si>
    <t>Koszty jednostkowe posiadania samochodu spalinowego</t>
  </si>
  <si>
    <t>LV spalinowe, teren płaski, nawierzchnia nowa</t>
  </si>
  <si>
    <t>Zastosowanie:</t>
  </si>
  <si>
    <t>Poziom cen na koniec roku:</t>
  </si>
  <si>
    <t>LV, teren płaski, 
nawierzchnia nowa</t>
  </si>
  <si>
    <t xml:space="preserve">Wersja: </t>
  </si>
  <si>
    <t xml:space="preserve">Spis tabel: </t>
  </si>
  <si>
    <t>Parametry do przeliczeń walutowych i indeksacji wartości pieniężnych</t>
  </si>
  <si>
    <t>Koszty jednostkowe zanieczyszczenia powietrza, transport lądowy ogółem</t>
  </si>
  <si>
    <t>Koszty jednostkowe hałasu w transporcie lądowym – zdezagregowane</t>
  </si>
  <si>
    <t>Koszty jednostkowe wypadków drogowych</t>
  </si>
  <si>
    <t>Koszty jednostkowe efektów zewnętrznych transportu – ogółem</t>
  </si>
  <si>
    <t xml:space="preserve">Prezentowane współczynniki indeksacji służą do dostosowania wartości pieniężnych do poziomu cenowego na koniec danego roku. </t>
  </si>
  <si>
    <t>Motywacja podróży</t>
  </si>
  <si>
    <t>Służbowe</t>
  </si>
  <si>
    <t>Dom-praca</t>
  </si>
  <si>
    <t>Pozostałe</t>
  </si>
  <si>
    <t>Koszty jednostkowe czasu w przewozach pasażerskich, wszystkie gałęzie transportu</t>
  </si>
  <si>
    <t>Wskaźnik indeksacji VoT</t>
  </si>
  <si>
    <t>Trakcja</t>
  </si>
  <si>
    <t>elektryczna</t>
  </si>
  <si>
    <t>spalinowa</t>
  </si>
  <si>
    <t>Typ pociągu towarowego</t>
  </si>
  <si>
    <t xml:space="preserve">Ładunki o niskiej wartości (*): </t>
  </si>
  <si>
    <t xml:space="preserve">np. ładunki masowe, kruszywa </t>
  </si>
  <si>
    <t xml:space="preserve">Zwykłe ładunki: </t>
  </si>
  <si>
    <t xml:space="preserve">Ładunki o wysokiej wartości: </t>
  </si>
  <si>
    <t>np. paczki, ładunki mrożone, ro-ro</t>
  </si>
  <si>
    <t>Koszty jednostkowe czasu w przewozach ładunków, wszystkie transport kolejowy</t>
  </si>
  <si>
    <t>inne ładunki kolejowe, morskie, rzeczne</t>
  </si>
  <si>
    <t xml:space="preserve">Euro na tonę ładunku na godzinę. </t>
  </si>
  <si>
    <t xml:space="preserve">&lt;6,000 Euro/tona ładunku, </t>
  </si>
  <si>
    <t xml:space="preserve">6,000-35,000 Euro/tona ładunku, </t>
  </si>
  <si>
    <t xml:space="preserve">&gt;35,000 Euro/tona ładunku, </t>
  </si>
  <si>
    <t>[PLN/tono-godz]</t>
  </si>
  <si>
    <t>[PLN/pas-godz]</t>
  </si>
  <si>
    <t>Pociąg blokowy (bezpośredni)</t>
  </si>
  <si>
    <t>Pociąg grupowy</t>
  </si>
  <si>
    <t>Pociąg kontenerowy, intermodalny</t>
  </si>
  <si>
    <t>Pociąg blokowy (bezpośredni), 
trakcja elektryczna</t>
  </si>
  <si>
    <t>Pociąg blokowy (bezpośredni), 
trakcja spalinowa</t>
  </si>
  <si>
    <t>Pociąg grupowy, 
trakcja elektryczna</t>
  </si>
  <si>
    <t>Pociąg grupowy, 
trakcja spalinowa</t>
  </si>
  <si>
    <t>Pociąg kontenerowy, intermodalny, 
trakcja elektryczna</t>
  </si>
  <si>
    <t>Pociąg kontenerowy, intermodalny, 
trakcja spalinowa</t>
  </si>
  <si>
    <t>[PLN/poc-godz]</t>
  </si>
  <si>
    <t xml:space="preserve">PLN na tonę ładunku na godzinę. </t>
  </si>
  <si>
    <t>Ładunki o niskiej wartości</t>
  </si>
  <si>
    <t>Zwykłe ładunki</t>
  </si>
  <si>
    <t>Ładunki o wysokiej wartości</t>
  </si>
  <si>
    <t>Parametry pociągów przyjęte do określenia kosztów jednostkowych</t>
  </si>
  <si>
    <t>Liczba wagonów</t>
  </si>
  <si>
    <t>[szt.]</t>
  </si>
  <si>
    <t>[t]</t>
  </si>
  <si>
    <t>[t/wag]</t>
  </si>
  <si>
    <t>Masa ładunku na wagon</t>
  </si>
  <si>
    <t>Masa netto ładunku (ładowność)</t>
  </si>
  <si>
    <t>Masa całkowita pociągu brutto</t>
  </si>
  <si>
    <t xml:space="preserve">Źródło: badanie przeprowadzone we Francji (CGSP, 2013) </t>
  </si>
  <si>
    <t>Koszty jednostkowe eksploatacji pociągów w przewozach ładunków</t>
  </si>
  <si>
    <t xml:space="preserve">Wpływ nachylenia drogi na emisje gazów cieplarnianych przez pojazdy drogowe przyjęto na takim samym poziomie, jak wpływ na zużycie paliwa. </t>
  </si>
  <si>
    <t>Wskaźniki cen produkcji budowlano-montażowej, Polska, GUS (rok poprzedni =100)</t>
  </si>
  <si>
    <t>Koszty jednostkowe utrzymania infrastruktury drogowej</t>
  </si>
  <si>
    <t>inflacja cen produkcji budowlano-montażowej PL do roku bazowego</t>
  </si>
  <si>
    <t>Wskaźnik indeksacji</t>
  </si>
  <si>
    <t>Klasa i przekrój drogi</t>
  </si>
  <si>
    <t>A, S 2x2</t>
  </si>
  <si>
    <t>[PLN/km]</t>
  </si>
  <si>
    <t>S 2+1</t>
  </si>
  <si>
    <t>S 1x2</t>
  </si>
  <si>
    <t>GP 2x2</t>
  </si>
  <si>
    <t>GP 1x2</t>
  </si>
  <si>
    <t>G</t>
  </si>
  <si>
    <t>Źródło: opracowanie własne na podstawie danych z przetargów GDDKiA “Utrzymaj standard” 2013, Niebieska Księga, Infrastruktura drogowa, lipiec 2015, Załącznik A, pkt 9 (str. 131)</t>
  </si>
  <si>
    <t xml:space="preserve">Handbook on the External Costs of Transport, EC (January 2019), dołączony plik "FINAL_marginal_costs_air-poll_climate_WTT_noise.xlsx", zakładka "rail" </t>
  </si>
  <si>
    <t xml:space="preserve">Handbook on the External Costs of Transport, EC (January 2019) </t>
  </si>
  <si>
    <t>Źródło: Handbook on the External Costs of Transport, EC (January 2019), plik "FINAL_marginal_costs_air-poll_climate_WTT_noise.xlsx", zakładka "noise_all"</t>
  </si>
  <si>
    <t>Źródło: Handbook on the External Costs of Transport, EC (January 2019), plik "FINAL_Complete overview of country data.xlsx", zakładka "Noise_input"</t>
  </si>
  <si>
    <t>Norma silnika</t>
  </si>
  <si>
    <t>Jednostka</t>
  </si>
  <si>
    <t>NMHC/NMVOC</t>
  </si>
  <si>
    <t>PM</t>
  </si>
  <si>
    <t>Regulacja</t>
  </si>
  <si>
    <t>Regulacja - pełna nazwa</t>
  </si>
  <si>
    <t>EURO I</t>
  </si>
  <si>
    <t>1992-1996.10</t>
  </si>
  <si>
    <t>g/kWh</t>
  </si>
  <si>
    <t>EURO II</t>
  </si>
  <si>
    <t>1996.10-2000.10</t>
  </si>
  <si>
    <t>EURO III</t>
  </si>
  <si>
    <t>2000.10-2005.10</t>
  </si>
  <si>
    <t>EURO IV</t>
  </si>
  <si>
    <t>2005.10-2008.10</t>
  </si>
  <si>
    <t>EURO V</t>
  </si>
  <si>
    <t>2008.10-2012.12</t>
  </si>
  <si>
    <t>EURO VI</t>
  </si>
  <si>
    <t>2013+</t>
  </si>
  <si>
    <t>Zgodnie z parametrami silnika</t>
  </si>
  <si>
    <t>Autobus - Diesel</t>
  </si>
  <si>
    <t>Wartość energetyczna Diesla</t>
  </si>
  <si>
    <t>MJ/l</t>
  </si>
  <si>
    <t>Rozporządzenie Prezesa Rady Ministrów z dnia 10.05.2011 r. w sprawie innych niż cena obowiązkowych kryteriów oceny ofert w odniesieniu do niektórych rodzajów zamówień publicznych</t>
  </si>
  <si>
    <t>1 kWh</t>
  </si>
  <si>
    <t>=</t>
  </si>
  <si>
    <t>MJ</t>
  </si>
  <si>
    <t>kWh/l</t>
  </si>
  <si>
    <t>Spalanie przez dany autobus na 100 km</t>
  </si>
  <si>
    <t>l/100 km</t>
  </si>
  <si>
    <t>100 km</t>
  </si>
  <si>
    <t>kWh/km</t>
  </si>
  <si>
    <t>Kategoria EURO</t>
  </si>
  <si>
    <t>g/km</t>
  </si>
  <si>
    <t>Autobus - CNG</t>
  </si>
  <si>
    <t>Wartość energetyczna CNG</t>
  </si>
  <si>
    <t>Nm3/100 km</t>
  </si>
  <si>
    <t>Autobus - elektryczny</t>
  </si>
  <si>
    <t>Lata</t>
  </si>
  <si>
    <t>[1] Gęstość paliwa (g/litr)</t>
  </si>
  <si>
    <t>Polska, sieciowa</t>
  </si>
  <si>
    <t>g --&gt; kg</t>
  </si>
  <si>
    <t>Emisje CO2 i zanieczyszczeń powietrza przez autobusy komunikacji miejskiej</t>
  </si>
  <si>
    <t>[PLN]</t>
  </si>
  <si>
    <t>Lipiec 2021</t>
  </si>
  <si>
    <t>Sierpień 2021</t>
  </si>
  <si>
    <t>Wrzesień 2021</t>
  </si>
  <si>
    <t>Eksploatacja ESPO</t>
  </si>
  <si>
    <t>Brutto</t>
  </si>
  <si>
    <t>Koszty jednostkowe utrzymania infrastruktury drogowej oraz eksploatacji systemu poboru opłat drogowych</t>
  </si>
  <si>
    <t>Netto</t>
  </si>
  <si>
    <t>Stawka opodatkowania VAT</t>
  </si>
  <si>
    <t>Liczba miesięcy danych</t>
  </si>
  <si>
    <t>Liczba miesięcy w roku</t>
  </si>
  <si>
    <t>[km]</t>
  </si>
  <si>
    <t>Długość dróg publicznych zarządzanych przez GDDKiA, objętych opłatami za przejazd</t>
  </si>
  <si>
    <t>Źródło: Ministerstwo Finansów – Krajowa Administracja Skarbowa, https://etoll.gov.pl/ciezarowe/system-e-toll/lista-odcinkow-platnych/</t>
  </si>
  <si>
    <t>Koszty związane z eksploatacją Elektronicznego Systemu Poboru Opłat (łącznie viaTOLL oraz e-TOLL), wartości PLN brutto 2021 dla Polski</t>
  </si>
  <si>
    <t>Koszt jednostkowy eksploatacji elektronicznego systemu poboru opłat drogowych</t>
  </si>
  <si>
    <t xml:space="preserve">Koszty jednostkowe eksploatacji elektronicznego systemu poboru opłat za przejazd drogami publicznymi zarządzanymi przez GDDKiA </t>
  </si>
  <si>
    <t xml:space="preserve">Do końca września 2021 r. funkcjonowały równocześnie dwa systemy elektronicznego poboru opłat: viaTOLL i e-TOLL. Dane dotyczące eksploatacji Elektronicznego Systemu Poboru Opłat odnoszą się do obu systemów. </t>
  </si>
  <si>
    <t>Wyszczególnienie</t>
  </si>
  <si>
    <t>kg/MWh</t>
  </si>
  <si>
    <t>Struktura źródeł energii elektrycznej wytwarzanej w Polsce</t>
  </si>
  <si>
    <t>GWh</t>
  </si>
  <si>
    <t>%</t>
  </si>
  <si>
    <t>TWh</t>
  </si>
  <si>
    <t>Krajowe wskaźniki emisyjności sieciowej energii elektrycznej</t>
  </si>
  <si>
    <t>Wskaźniki emisji w [kg/MWh] dla odbiorców końcowych sieciowej energii elektrycznej</t>
  </si>
  <si>
    <r>
      <t>Wskaźnik emisji CO</t>
    </r>
    <r>
      <rPr>
        <vertAlign val="subscript"/>
        <sz val="11"/>
        <color theme="1"/>
        <rFont val="Calibri"/>
        <family val="2"/>
        <charset val="238"/>
        <scheme val="minor"/>
      </rPr>
      <t>2</t>
    </r>
    <r>
      <rPr>
        <sz val="11"/>
        <color theme="1"/>
        <rFont val="Calibri"/>
        <family val="2"/>
        <charset val="238"/>
        <scheme val="minor"/>
      </rPr>
      <t xml:space="preserve"> dla odbiorców końcowych sieciowej energii elektrycznej</t>
    </r>
  </si>
  <si>
    <t>(kWh/ msc-km)</t>
  </si>
  <si>
    <t>(kWh/ poc-km)</t>
  </si>
  <si>
    <t xml:space="preserve">UWAGA: </t>
  </si>
  <si>
    <r>
      <t>CO</t>
    </r>
    <r>
      <rPr>
        <b/>
        <vertAlign val="subscript"/>
        <sz val="11"/>
        <color theme="1"/>
        <rFont val="Calibri"/>
        <family val="2"/>
        <charset val="238"/>
        <scheme val="minor"/>
      </rPr>
      <t>2</t>
    </r>
  </si>
  <si>
    <r>
      <t>SO</t>
    </r>
    <r>
      <rPr>
        <b/>
        <vertAlign val="subscript"/>
        <sz val="11"/>
        <color theme="1"/>
        <rFont val="Calibri"/>
        <family val="2"/>
        <charset val="238"/>
        <scheme val="minor"/>
      </rPr>
      <t>2</t>
    </r>
  </si>
  <si>
    <r>
      <t>NO</t>
    </r>
    <r>
      <rPr>
        <b/>
        <vertAlign val="subscript"/>
        <sz val="11"/>
        <color theme="1"/>
        <rFont val="Calibri"/>
        <family val="2"/>
        <charset val="238"/>
        <scheme val="minor"/>
      </rPr>
      <t>x</t>
    </r>
  </si>
  <si>
    <r>
      <t>[2] kg CO</t>
    </r>
    <r>
      <rPr>
        <i/>
        <vertAlign val="subscript"/>
        <sz val="11"/>
        <color theme="1"/>
        <rFont val="Calibri"/>
        <family val="2"/>
        <charset val="238"/>
        <scheme val="minor"/>
      </rPr>
      <t>2</t>
    </r>
    <r>
      <rPr>
        <i/>
        <sz val="11"/>
        <color theme="1"/>
        <rFont val="Calibri"/>
        <family val="2"/>
        <charset val="238"/>
        <scheme val="minor"/>
      </rPr>
      <t>/ litr paliwa</t>
    </r>
  </si>
  <si>
    <r>
      <t>MJ/Nm</t>
    </r>
    <r>
      <rPr>
        <vertAlign val="superscript"/>
        <sz val="11"/>
        <color theme="1"/>
        <rFont val="Calibri"/>
        <family val="2"/>
        <charset val="238"/>
        <scheme val="minor"/>
      </rPr>
      <t>3</t>
    </r>
  </si>
  <si>
    <r>
      <t>kWh/Nm</t>
    </r>
    <r>
      <rPr>
        <vertAlign val="superscript"/>
        <sz val="11"/>
        <color theme="1"/>
        <rFont val="Calibri"/>
        <family val="2"/>
        <charset val="238"/>
        <scheme val="minor"/>
      </rPr>
      <t>3</t>
    </r>
  </si>
  <si>
    <r>
      <t>litr --&gt; m</t>
    </r>
    <r>
      <rPr>
        <vertAlign val="superscript"/>
        <sz val="11"/>
        <color theme="1"/>
        <rFont val="Calibri"/>
        <family val="2"/>
        <charset val="238"/>
        <scheme val="minor"/>
      </rPr>
      <t>3</t>
    </r>
  </si>
  <si>
    <r>
      <t>[1] kg CO</t>
    </r>
    <r>
      <rPr>
        <i/>
        <vertAlign val="subscript"/>
        <sz val="11"/>
        <color theme="1"/>
        <rFont val="Calibri"/>
        <family val="2"/>
        <charset val="238"/>
        <scheme val="minor"/>
      </rPr>
      <t>2</t>
    </r>
    <r>
      <rPr>
        <i/>
        <sz val="11"/>
        <color theme="1"/>
        <rFont val="Calibri"/>
        <family val="2"/>
        <charset val="238"/>
        <scheme val="minor"/>
      </rPr>
      <t>/ kg paliwa</t>
    </r>
  </si>
  <si>
    <r>
      <t>[1] kg CO</t>
    </r>
    <r>
      <rPr>
        <i/>
        <vertAlign val="subscript"/>
        <sz val="11"/>
        <color theme="1"/>
        <rFont val="Calibri"/>
        <family val="2"/>
        <charset val="238"/>
        <scheme val="minor"/>
      </rPr>
      <t>2</t>
    </r>
    <r>
      <rPr>
        <i/>
        <sz val="11"/>
        <color theme="1"/>
        <rFont val="Calibri"/>
        <family val="2"/>
        <charset val="238"/>
        <scheme val="minor"/>
      </rPr>
      <t>/ litr paliwa</t>
    </r>
  </si>
  <si>
    <r>
      <t>[1] kg CO</t>
    </r>
    <r>
      <rPr>
        <i/>
        <vertAlign val="subscript"/>
        <sz val="11"/>
        <color theme="1"/>
        <rFont val="Calibri"/>
        <family val="2"/>
        <charset val="238"/>
        <scheme val="minor"/>
      </rPr>
      <t>2</t>
    </r>
    <r>
      <rPr>
        <i/>
        <sz val="11"/>
        <color theme="1"/>
        <rFont val="Calibri"/>
        <family val="2"/>
        <charset val="238"/>
        <scheme val="minor"/>
      </rPr>
      <t>/ m</t>
    </r>
    <r>
      <rPr>
        <i/>
        <vertAlign val="superscript"/>
        <sz val="11"/>
        <color theme="1"/>
        <rFont val="Calibri"/>
        <family val="2"/>
        <charset val="238"/>
        <scheme val="minor"/>
      </rPr>
      <t>3</t>
    </r>
    <r>
      <rPr>
        <i/>
        <sz val="11"/>
        <color theme="1"/>
        <rFont val="Calibri"/>
        <family val="2"/>
        <charset val="238"/>
        <scheme val="minor"/>
      </rPr>
      <t xml:space="preserve"> paliwa</t>
    </r>
  </si>
  <si>
    <r>
      <t>CO</t>
    </r>
    <r>
      <rPr>
        <vertAlign val="subscript"/>
        <sz val="11"/>
        <color theme="1"/>
        <rFont val="Calibri"/>
        <family val="2"/>
        <charset val="238"/>
        <scheme val="minor"/>
      </rPr>
      <t>2</t>
    </r>
    <r>
      <rPr>
        <sz val="11"/>
        <color theme="1"/>
        <rFont val="Calibri"/>
        <family val="2"/>
        <charset val="238"/>
        <scheme val="minor"/>
      </rPr>
      <t xml:space="preserve"> kg/km</t>
    </r>
  </si>
  <si>
    <r>
      <t>CO</t>
    </r>
    <r>
      <rPr>
        <vertAlign val="subscript"/>
        <sz val="11"/>
        <color theme="1"/>
        <rFont val="Calibri"/>
        <family val="2"/>
        <charset val="238"/>
        <scheme val="minor"/>
      </rPr>
      <t>2</t>
    </r>
    <r>
      <rPr>
        <sz val="11"/>
        <color theme="1"/>
        <rFont val="Calibri"/>
        <family val="2"/>
        <charset val="238"/>
        <scheme val="minor"/>
      </rPr>
      <t xml:space="preserve"> g/kWh</t>
    </r>
  </si>
  <si>
    <r>
      <t>Powyższa wartość wskaźnika emisyjności CO</t>
    </r>
    <r>
      <rPr>
        <vertAlign val="subscript"/>
        <sz val="11"/>
        <color theme="1"/>
        <rFont val="Calibri"/>
        <family val="2"/>
        <charset val="238"/>
        <scheme val="minor"/>
      </rPr>
      <t>2</t>
    </r>
    <r>
      <rPr>
        <sz val="11"/>
        <color theme="1"/>
        <rFont val="Calibri"/>
        <family val="2"/>
        <charset val="238"/>
        <scheme val="minor"/>
      </rPr>
      <t xml:space="preserve"> dotyczy roku 2019. </t>
    </r>
  </si>
  <si>
    <r>
      <t>Zmiany wskaźnika emisji CO</t>
    </r>
    <r>
      <rPr>
        <u/>
        <vertAlign val="subscript"/>
        <sz val="11"/>
        <color theme="10"/>
        <rFont val="Calibri"/>
        <family val="2"/>
        <charset val="238"/>
        <scheme val="minor"/>
      </rPr>
      <t>2</t>
    </r>
    <r>
      <rPr>
        <u/>
        <sz val="11"/>
        <color theme="10"/>
        <rFont val="Calibri"/>
        <family val="2"/>
        <charset val="238"/>
        <scheme val="minor"/>
      </rPr>
      <t xml:space="preserve"> względem roku 2019</t>
    </r>
  </si>
  <si>
    <t xml:space="preserve">Wskaźniki zużycia paliwa przez pojazdy spalinowe (łącznie dla wszystkich rodzajów paliw) pozostaną na wyjściowym poziomie (2019). </t>
  </si>
  <si>
    <t xml:space="preserve">Jednostkowe zużycie energii przez elektryczny pojazd trakcyjny </t>
  </si>
  <si>
    <t>Pociągi elektryczne</t>
  </si>
  <si>
    <t>Pasażerski międzyaglomeracyjny</t>
  </si>
  <si>
    <t>kJ/brtkm</t>
  </si>
  <si>
    <t>Pasażerski międzyregionalny</t>
  </si>
  <si>
    <t>Pasażerski regionalny</t>
  </si>
  <si>
    <t>Przelicznik kJ --&gt; kWh</t>
  </si>
  <si>
    <t>J --&gt; kJ</t>
  </si>
  <si>
    <t>Zużycie energii 
[kWh/ brtkm]</t>
  </si>
  <si>
    <t xml:space="preserve">Jednostkowe zużycie energii przez spalinowy pojazd trakcyjny </t>
  </si>
  <si>
    <t>Pociągi spalinowe (olej napędowy)</t>
  </si>
  <si>
    <t>Pociągi spalinowe 
(olej napędowy)</t>
  </si>
  <si>
    <r>
      <t>kg CO</t>
    </r>
    <r>
      <rPr>
        <vertAlign val="subscript"/>
        <sz val="11"/>
        <color theme="1"/>
        <rFont val="Calibri"/>
        <family val="2"/>
        <charset val="238"/>
        <scheme val="minor"/>
      </rPr>
      <t>2</t>
    </r>
    <r>
      <rPr>
        <sz val="11"/>
        <color theme="1"/>
        <rFont val="Calibri"/>
        <family val="2"/>
        <charset val="238"/>
        <scheme val="minor"/>
      </rPr>
      <t>/ kg paliwa</t>
    </r>
  </si>
  <si>
    <t>Gęstość paliwa (g/litr)</t>
  </si>
  <si>
    <r>
      <t>kg CO</t>
    </r>
    <r>
      <rPr>
        <vertAlign val="subscript"/>
        <sz val="11"/>
        <color theme="1"/>
        <rFont val="Calibri"/>
        <family val="2"/>
        <charset val="238"/>
        <scheme val="minor"/>
      </rPr>
      <t>2</t>
    </r>
    <r>
      <rPr>
        <sz val="11"/>
        <color theme="1"/>
        <rFont val="Calibri"/>
        <family val="2"/>
        <charset val="238"/>
        <scheme val="minor"/>
      </rPr>
      <t>/ litr paliwa</t>
    </r>
  </si>
  <si>
    <r>
      <t>kg CO</t>
    </r>
    <r>
      <rPr>
        <vertAlign val="subscript"/>
        <sz val="11"/>
        <color theme="1"/>
        <rFont val="Calibri"/>
        <family val="2"/>
        <charset val="238"/>
        <scheme val="minor"/>
      </rPr>
      <t>2</t>
    </r>
    <r>
      <rPr>
        <sz val="11"/>
        <color theme="1"/>
        <rFont val="Calibri"/>
        <family val="2"/>
        <charset val="238"/>
        <scheme val="minor"/>
      </rPr>
      <t>/ m</t>
    </r>
    <r>
      <rPr>
        <vertAlign val="superscript"/>
        <sz val="11"/>
        <color theme="1"/>
        <rFont val="Calibri"/>
        <family val="2"/>
        <charset val="238"/>
        <scheme val="minor"/>
      </rPr>
      <t>3</t>
    </r>
    <r>
      <rPr>
        <sz val="11"/>
        <color theme="1"/>
        <rFont val="Calibri"/>
        <family val="2"/>
        <charset val="238"/>
        <scheme val="minor"/>
      </rPr>
      <t xml:space="preserve"> paliwa</t>
    </r>
  </si>
  <si>
    <t>Źródło: Eurostat, https://ec.europa.eu/eurostat/data/database Main GDP aggregates per capita [nama_10_pc] (aktualizacja 28.01.2022)</t>
  </si>
  <si>
    <t>[PLN/brtkm]</t>
  </si>
  <si>
    <t>Samochody osobowe (=LV) spalinowe</t>
  </si>
  <si>
    <t>Samochody ciężarowe (=HGV) spalinowe</t>
  </si>
  <si>
    <t>LV spalinowe, obszar miejski, średnio w dobie, nawierzchnia nowa</t>
  </si>
  <si>
    <t>LV ogółem, obszar miejski, średnio w dobie, nawierzchnia nowa</t>
  </si>
  <si>
    <t>HGV ogółem, obszar miejski, średnio w dobie, nawierzchnia nowa</t>
  </si>
  <si>
    <t>Transport pasażerski drogowy, 
Samochody osobowe</t>
  </si>
  <si>
    <t>[PLN/pas-km]</t>
  </si>
  <si>
    <t>Indeksacja ECT 2019 po roku bazowym</t>
  </si>
  <si>
    <r>
      <t>Zmiany kosztu jednostkowego emisji CO</t>
    </r>
    <r>
      <rPr>
        <b/>
        <vertAlign val="subscript"/>
        <sz val="11"/>
        <color theme="1"/>
        <rFont val="Calibri"/>
        <family val="2"/>
        <charset val="238"/>
        <scheme val="minor"/>
      </rPr>
      <t>2</t>
    </r>
  </si>
  <si>
    <r>
      <t>Zmiany kosztu jednostkowego emisji CO</t>
    </r>
    <r>
      <rPr>
        <vertAlign val="subscript"/>
        <sz val="11"/>
        <color theme="1"/>
        <rFont val="Calibri"/>
        <family val="2"/>
        <charset val="238"/>
        <scheme val="minor"/>
      </rPr>
      <t>2</t>
    </r>
    <r>
      <rPr>
        <sz val="11"/>
        <color theme="1"/>
        <rFont val="Calibri"/>
        <family val="2"/>
        <charset val="238"/>
        <scheme val="minor"/>
      </rPr>
      <t xml:space="preserve"> rok-do-roku</t>
    </r>
  </si>
  <si>
    <t>Zmiana wskaźnika rok-do-roku</t>
  </si>
  <si>
    <r>
      <t>Zmiany wskaźnika emisji CO</t>
    </r>
    <r>
      <rPr>
        <vertAlign val="subscript"/>
        <sz val="11"/>
        <color theme="1"/>
        <rFont val="Calibri"/>
        <family val="2"/>
        <charset val="238"/>
        <scheme val="minor"/>
      </rPr>
      <t>2</t>
    </r>
    <r>
      <rPr>
        <sz val="11"/>
        <color theme="1"/>
        <rFont val="Calibri"/>
        <family val="2"/>
        <charset val="238"/>
        <scheme val="minor"/>
      </rPr>
      <t xml:space="preserve"> względem poziomu wyjściowego z roku 2019</t>
    </r>
  </si>
  <si>
    <r>
      <t>Zmiany wskaźnika emisji CO</t>
    </r>
    <r>
      <rPr>
        <vertAlign val="subscript"/>
        <sz val="11"/>
        <color theme="1"/>
        <rFont val="Calibri"/>
        <family val="2"/>
        <charset val="238"/>
        <scheme val="minor"/>
      </rPr>
      <t>2</t>
    </r>
    <r>
      <rPr>
        <sz val="11"/>
        <color theme="1"/>
        <rFont val="Calibri"/>
        <family val="2"/>
        <charset val="238"/>
        <scheme val="minor"/>
      </rPr>
      <t xml:space="preserve"> 
rok-do-roku</t>
    </r>
  </si>
  <si>
    <r>
      <t>Zmiany wskaźnika emisji CO</t>
    </r>
    <r>
      <rPr>
        <b/>
        <vertAlign val="subscript"/>
        <sz val="11"/>
        <color theme="1"/>
        <rFont val="Calibri"/>
        <family val="2"/>
        <charset val="238"/>
        <scheme val="minor"/>
      </rPr>
      <t>2</t>
    </r>
    <r>
      <rPr>
        <b/>
        <sz val="11"/>
        <color theme="1"/>
        <rFont val="Calibri"/>
        <family val="2"/>
        <charset val="238"/>
        <scheme val="minor"/>
      </rPr>
      <t xml:space="preserve"> w [g/kWh] dla odbiorców końcowych sieciowej energii elektrycznej </t>
    </r>
  </si>
  <si>
    <r>
      <t>Zmiany wskaźnika emisji CO</t>
    </r>
    <r>
      <rPr>
        <u/>
        <vertAlign val="subscript"/>
        <sz val="11"/>
        <color theme="10"/>
        <rFont val="Calibri"/>
        <family val="2"/>
        <charset val="238"/>
        <scheme val="minor"/>
      </rPr>
      <t>2</t>
    </r>
    <r>
      <rPr>
        <u/>
        <sz val="11"/>
        <color theme="10"/>
        <rFont val="Calibri"/>
        <family val="2"/>
        <charset val="238"/>
        <scheme val="minor"/>
      </rPr>
      <t xml:space="preserve"> po roku bazowym</t>
    </r>
  </si>
  <si>
    <t>Transport pasażerski kolejowy</t>
  </si>
  <si>
    <r>
      <t>Zmiany kosztu jednostkowego CO</t>
    </r>
    <r>
      <rPr>
        <u/>
        <vertAlign val="subscript"/>
        <sz val="11"/>
        <color theme="10"/>
        <rFont val="Calibri"/>
        <family val="2"/>
        <charset val="238"/>
        <scheme val="minor"/>
      </rPr>
      <t>2</t>
    </r>
    <r>
      <rPr>
        <u/>
        <sz val="11"/>
        <color theme="10"/>
        <rFont val="Calibri"/>
        <family val="2"/>
        <charset val="238"/>
        <scheme val="minor"/>
      </rPr>
      <t xml:space="preserve"> po roku bazowym</t>
    </r>
  </si>
  <si>
    <t>Koszty eksploatacji pojazdów spalinowych [PLN/pojkm]</t>
  </si>
  <si>
    <t xml:space="preserve">Nota metodologiczna </t>
  </si>
  <si>
    <t>Poziom cen na dzień:</t>
  </si>
  <si>
    <t>Nota metodologiczna</t>
  </si>
  <si>
    <t>2018 (s)</t>
  </si>
  <si>
    <t>LV ogółem, teren płaski, nawierzchnia nowa</t>
  </si>
  <si>
    <t>HGV ogółem, teren płaski, nawierzchnia nowa</t>
  </si>
  <si>
    <r>
      <t xml:space="preserve">Koszty jednostkowe eksploatacji pojazdów </t>
    </r>
    <r>
      <rPr>
        <b/>
        <u/>
        <sz val="11"/>
        <color theme="1"/>
        <rFont val="Calibri"/>
        <family val="2"/>
        <charset val="238"/>
        <scheme val="minor"/>
      </rPr>
      <t>spalinowych</t>
    </r>
    <r>
      <rPr>
        <b/>
        <sz val="11"/>
        <color theme="1"/>
        <rFont val="Calibri"/>
        <family val="2"/>
        <charset val="238"/>
        <scheme val="minor"/>
      </rPr>
      <t xml:space="preserve"> [PLN/pojkm]</t>
    </r>
  </si>
  <si>
    <t>Koszty jednostkowe PLN na tonokm ładunku</t>
  </si>
  <si>
    <t>[PLN/tkm]</t>
  </si>
  <si>
    <t>Koszty jednostkowe PLN na bruttotonokilometr</t>
  </si>
  <si>
    <t>Inflacja średnioroczna CPI dla Polski, skumulowana od 2016 do roku bazowego</t>
  </si>
  <si>
    <r>
      <rPr>
        <u/>
        <sz val="11"/>
        <color theme="1"/>
        <rFont val="Calibri"/>
        <family val="2"/>
        <charset val="238"/>
        <scheme val="minor"/>
      </rPr>
      <t>UWAGA</t>
    </r>
    <r>
      <rPr>
        <sz val="11"/>
        <color theme="1"/>
        <rFont val="Calibri"/>
        <family val="2"/>
        <charset val="238"/>
        <scheme val="minor"/>
      </rPr>
      <t xml:space="preserve">, poniższa przykładowa tabela oparta jest na odwołaniach do określonych wartości w przykładowej tabeli w wierszu 123. W związku z tym w przypadku zmiany w tamtym wierszu (np. zmiany z LV na HGV, obszaru na zamiejski), wartości przedstawione w poniższej tabeli przykładowej nie będą zgodne z opisami. </t>
    </r>
  </si>
  <si>
    <t xml:space="preserve">Poniższa przykładowa tabela uwzględnia zmiany struktury floty pojazdów drogowych pod względem rodzaju paliwa (napęd spalinowy, elektryczny) w kolejnych latach projekcji. </t>
  </si>
  <si>
    <t xml:space="preserve">W zakresie zmian struktury floty pojazdów drogowych należy przyjąć takie same założenia, jak dla kosztów eksploatacji samochodów (VOC). </t>
  </si>
  <si>
    <r>
      <t xml:space="preserve">I METODA </t>
    </r>
    <r>
      <rPr>
        <b/>
        <sz val="11"/>
        <color theme="1"/>
        <rFont val="Calibri"/>
        <family val="2"/>
        <charset val="238"/>
      </rPr>
      <t>–</t>
    </r>
    <r>
      <rPr>
        <b/>
        <sz val="11"/>
        <color theme="1"/>
        <rFont val="Calibri"/>
        <family val="2"/>
        <charset val="238"/>
        <scheme val="minor"/>
      </rPr>
      <t xml:space="preserve"> koszty krańcowe na 1 pojazdo-km</t>
    </r>
  </si>
  <si>
    <r>
      <t xml:space="preserve">Należy przyjąć, że w transporcie drogowym koszty hałasu dotyczą wyłącznie samochodów </t>
    </r>
    <r>
      <rPr>
        <u/>
        <sz val="11"/>
        <color theme="1"/>
        <rFont val="Calibri"/>
        <family val="2"/>
        <charset val="238"/>
        <scheme val="minor"/>
      </rPr>
      <t>spalinowych</t>
    </r>
    <r>
      <rPr>
        <sz val="11"/>
        <color theme="1"/>
        <rFont val="Calibri"/>
        <family val="2"/>
        <charset val="238"/>
        <scheme val="minor"/>
      </rPr>
      <t xml:space="preserve"> LV, HGV (odpowiedni udział %) i nie dotyczą samochodów elektrycznych, gdyż poziom hałasu emitowanego przez samochody elektryczne jest nieistotny. </t>
    </r>
  </si>
  <si>
    <t>Tablice kosztów jednostkowych do wykorzystania w analizach kosztów i korzyści</t>
  </si>
  <si>
    <t xml:space="preserve">W niniejszym pliku prezentowane są tablice kosztów jednostkowych do wykorzystania w analizach kosztów i korzyści przygotowywanych przez wnioskodawców. </t>
  </si>
  <si>
    <t xml:space="preserve">Wartości przeliczone na poziom cenowy właściwy dla 31 grudnia danego roku należy zastosować w roku następnym. Jest to opisane w nagłówkach tabel kosztów jednostkowych. </t>
  </si>
  <si>
    <t xml:space="preserve">Z poniższych kategorii, dwie są efektami bezpośrednimi, jako elementy uogólnionych kosztów podróży: Koszty eksploatacji pojazdów – VOC, Koszty czasu użytkowników infrastruktury – VoT. </t>
  </si>
  <si>
    <t xml:space="preserve">Pozostałe są tak zwanymi kosztami zewnętrznymi: wypadki, zanieczyszczenie powietrza, zmiany klimatu i hałas. </t>
  </si>
  <si>
    <t>Skutki społeczno-ekonomiczne inne niż wymienione mogą także być generowane. Uwzględnienie ich w analizie wymaga przedstawienia metodyki wyliczenia i źródła kosztów jednostkowych.</t>
  </si>
  <si>
    <t xml:space="preserve">Na końcu pliku zamieszczone są dwie dodatkowe zakładki, które zawierają odpowiednio: </t>
  </si>
  <si>
    <r>
      <t>Kalkulator emisji CO</t>
    </r>
    <r>
      <rPr>
        <vertAlign val="subscript"/>
        <sz val="11"/>
        <color theme="1"/>
        <rFont val="Calibri"/>
        <family val="2"/>
        <charset val="238"/>
        <scheme val="minor"/>
      </rPr>
      <t>2</t>
    </r>
    <r>
      <rPr>
        <sz val="11"/>
        <color theme="1"/>
        <rFont val="Calibri"/>
        <family val="2"/>
        <charset val="238"/>
        <scheme val="minor"/>
      </rPr>
      <t xml:space="preserve"> i zanieczyszczeń powietrza przez autobusy komunikacji miejskiej</t>
    </r>
  </si>
  <si>
    <t>Parametry do przeliczeń walutowych i indeksacji wartości pieniężnych</t>
  </si>
  <si>
    <t>Zmiana PKB Polski w cenach stałych średniorocznych (rok poprzedni =100)</t>
  </si>
  <si>
    <t>Ludność Polski ogółem (w dniu 31.XII), tys.</t>
  </si>
  <si>
    <t>Zmiana PKB Polski per capita w cenach stałych średniorocznych (rok poprzedni =100)</t>
  </si>
  <si>
    <t>Zmiana PKB Polski w cenach stałych średniorocznych – prognoza MinFin</t>
  </si>
  <si>
    <t>Liczba ludności Polski (w dniu 31.XII) – prognoza GUS</t>
  </si>
  <si>
    <t>Zmiana PKB Polski per capita w cenach stałych średniorocznych – prognoza</t>
  </si>
  <si>
    <r>
      <t xml:space="preserve">Koszty jednostkowe dla poszczególnych Krajów Członkowskich zostały przedstawione w "Handbook on the External Costs of Transport" na przeciętnym poziomie cenowym dla UE28 i w EUR 2016 </t>
    </r>
    <r>
      <rPr>
        <sz val="11"/>
        <color theme="1"/>
        <rFont val="Calibri"/>
        <family val="2"/>
        <charset val="238"/>
      </rPr>
      <t>–</t>
    </r>
    <r>
      <rPr>
        <sz val="11"/>
        <color theme="1"/>
        <rFont val="Calibri"/>
        <family val="2"/>
        <charset val="238"/>
        <scheme val="minor"/>
      </rPr>
      <t xml:space="preserve"> patrz: "Handbook…", rozdział 1.3.6. </t>
    </r>
  </si>
  <si>
    <r>
      <rPr>
        <sz val="11"/>
        <color theme="1"/>
        <rFont val="Calibri"/>
        <family val="2"/>
        <charset val="238"/>
      </rPr>
      <t>[1] </t>
    </r>
    <r>
      <rPr>
        <sz val="11"/>
        <color theme="1"/>
        <rFont val="Calibri"/>
        <family val="2"/>
        <charset val="238"/>
        <scheme val="minor"/>
      </rPr>
      <t xml:space="preserve">kurs walutowy PLN/EUR za rok 2016, oraz [2] PKB Polski per capita za rok 2016, wyrażony w jednostkach siły nabywczej (Purchasing Power Standards, PPS). </t>
    </r>
  </si>
  <si>
    <t xml:space="preserve">Następnie zastosowano indeksację wartości wyrażonych w PLN do poziomu cenowego właściwego dla określonego roku bazowego oraz na kolejne lata. </t>
  </si>
  <si>
    <t xml:space="preserve">Źródło: Handbook on the External Costs of Transport, EC (January 2019), chapter 2.4 Value transfer approach, chapter 1.3.6 Price level </t>
  </si>
  <si>
    <t xml:space="preserve">Tę samą logikę zastosowano konsekwentnie również do [1] kosztów jednostkowych czasu w przewozach ładunków transportem kolejowym, oraz do [2] kosztów jednostkowych eksploatacji pociągów w przewozach ładunków. W tych dwóch przypadkach wyjściowe koszty jednostkowe pochodzą z innego opracowania i dotyczą roku 2010. </t>
  </si>
  <si>
    <t>Produkt krajowy brutto na 1 mieszkańca, Polska w PPS (UE 28=100)</t>
  </si>
  <si>
    <t xml:space="preserve">Na początku roku 2020 Unię Europejską opuściła Wielka Brytania. Od tej pory punktem odniesienia dla wskaźników jest UE 27=100. Seria wskaźników dla UE 28=100 nie jest kontynuowana, wskaźniki dla lat poprzednich zostały przeliczone przez Eurostat. </t>
  </si>
  <si>
    <t>VoT, koszty czasu w transporcie</t>
  </si>
  <si>
    <t>Elastyczność X</t>
  </si>
  <si>
    <t>Indeksacja = X * (PKB per cap PL) * (inflacja PL do roku bazowego)</t>
  </si>
  <si>
    <t>Koszty jednostkowe inne niż VoT i VOC, też ECT 2019 po roku bazowym</t>
  </si>
  <si>
    <t>Elastyczność Y</t>
  </si>
  <si>
    <t>Indeksacja = Y * (PKB per cap PL) * (inflacja PL do roku bazowego)</t>
  </si>
  <si>
    <t>ECT 2019 na rok bazowy</t>
  </si>
  <si>
    <t>Indeksacja = Y * (PKB per cap PL) * (inflacja PL do roku bazowego), 
skumulowane od 2016</t>
  </si>
  <si>
    <t>Koszty jednostkowe czasu w przewozach pasażerskich, wszystkie gałęzie transportu</t>
  </si>
  <si>
    <t>Koszt jednostkowy czasu podróży pasażerskich w zależności od motywacji, 2019 PLN/ pas-godz, do indeksacji</t>
  </si>
  <si>
    <t>Koszty jednostkowe czasu w przewozach ładunków, transport kolejowy</t>
  </si>
  <si>
    <t xml:space="preserve">Podane stawki kosztów jednostkowych nie zawierają podatków. </t>
  </si>
  <si>
    <t>Składnik 1: Koszty jednostkowe czasu przewozu ładunków włącznie z kosztami ogólnymi [EUR/poc-godz], ceny z roku 2010</t>
  </si>
  <si>
    <t xml:space="preserve">Źródło: opracowano na podstawie danych z badania przeprowadzonego we Francji (CGSP, 2013) </t>
  </si>
  <si>
    <t xml:space="preserve">Stawki kosztów jednostkowych dla poszczególnych krajów zostały oparte na kosztach transportu kolejowego w 15 krajach UE objętych badaniem i uwzględniają dane o poziomie wynagrodzeń załóg pociągów w tych krajach. </t>
  </si>
  <si>
    <t xml:space="preserve">Podane stawki kosztów jednostkowych zawierają: koszty personelu, czasu pociągu oraz związane z tym koszty ogólne. </t>
  </si>
  <si>
    <t>Składnik 2: Koszty jednostkowe czasu ładunków [EUR/tono-godz], ceny z roku 2010</t>
  </si>
  <si>
    <t xml:space="preserve">(*) Wartość dla tej kategorii ładunków została oparta na przeglądzie dostępnych źródeł danych. Przeciętna wartość w tych źródłach wynosi 0,01 EUR/tonogodz. Jednak w kontekście oceny projektów transportowych stawka ta ma stosunkowo niewielkie znaczenie i dlatego zaokrąglono ją do zera. </t>
  </si>
  <si>
    <t>Produkt krajowy brutto na 1 mieszkańca, w PPS (UE 28=100)</t>
  </si>
  <si>
    <t xml:space="preserve">Wyjaśnienie w sprawie przeliczenia wyjściowych wartości kosztów jednostkowych z zastosowaniem kursu walutowego PLN/EUR oraz PKB Polski per capita w jednostkach siły nabywczej (PPS): </t>
  </si>
  <si>
    <t xml:space="preserve">(s) W roku 2018 uwzględniono wartość wskaźnika skumulowaną od 2011. </t>
  </si>
  <si>
    <t>Źródło: Determination of the Value of Time (VOT) for passengers (in PLN/h). Phase 2: VOT calculations, pp. 8, 49, Deloitte, September 2021</t>
  </si>
  <si>
    <t xml:space="preserve">Dane w PLN/tono-godz dla poszczególnych typów ładunków mogą zostać zastosowane niezależnie od środka transportu, np. w projektach morskich. </t>
  </si>
  <si>
    <t>Koszty jednostkowe eksploatacji pojazdów w transporcie drogowym</t>
  </si>
  <si>
    <t>Prognoza zmian struktury floty pojazdów drogowych w Polsce pod względem rodzaju paliwa</t>
  </si>
  <si>
    <r>
      <t>Źródło prognoz na 2030 i 2050: "Ścieżki redukcji emisji CO</t>
    </r>
    <r>
      <rPr>
        <i/>
        <vertAlign val="subscript"/>
        <sz val="11"/>
        <color theme="1"/>
        <rFont val="Calibri"/>
        <family val="2"/>
        <charset val="238"/>
        <scheme val="minor"/>
      </rPr>
      <t>2</t>
    </r>
    <r>
      <rPr>
        <i/>
        <sz val="11"/>
        <color theme="1"/>
        <rFont val="Calibri"/>
        <family val="2"/>
        <charset val="238"/>
        <scheme val="minor"/>
      </rPr>
      <t xml:space="preserve"> w sektorze transportu w Polsce w kontekście „Europejskiego Zielonego Ładu”" CAKE/KOBiZE, październik 2020, str. 27, Rys. 13.</t>
    </r>
  </si>
  <si>
    <t>Dla sytuacji wyjściowej (koniec 2019) przyjęto uproszczenie, że udział samochodów na CNG, hybrydowych i elektrycznych wynosi 0%.</t>
  </si>
  <si>
    <t xml:space="preserve">Przyjęto założenie, że wśród reprezentatywnych pojazdów HGV (samochodów ciężarowych i autobusów międzymiastowych) udział oleju napędowego wynosi wyjściowo 100% (koniec 2019) i taki pozostanie. 
Powyższe założenia nie dotyczą autobusów komunikacji miejskiej. W przypadku wymiany lub rozbudowy floty takich pojazdów należy przyjąć założenia właściwe dla danego projektu (por. zakładka "E-busy emisje"). </t>
  </si>
  <si>
    <t>Pojazdy samochodowe w Polsce według wybranych rodzajów stosowanego paliwa na koniec 2019 roku</t>
  </si>
  <si>
    <t>Samoch. ciężarowe i ciągniki siodłowe</t>
  </si>
  <si>
    <t>Benzyna i energia elektryczna (hybryda)</t>
  </si>
  <si>
    <t>Olej napędowy i energia elektryczna (hybryda)</t>
  </si>
  <si>
    <t>Pozostałe, nie określone</t>
  </si>
  <si>
    <t>Źródło: Transport - wyniki działalności w 2019 roku, GUS, wrzesień 2020, Tablica 20 (53), liczby w pozycji "Razem" według Tablica 12 (45) i Tablica 13 (46)</t>
  </si>
  <si>
    <t>Benzyna i gaz</t>
  </si>
  <si>
    <t>Elektryczne i hybrydowe</t>
  </si>
  <si>
    <t>Spalinowe, w tym:</t>
  </si>
  <si>
    <t>Struktura floty reprezentatywnych spalinowych pojazdów drogowych pod względem rodzajów paliwa, przyjęta na potrzeby określenia kosztów jednostkowych eksploatacji samochodów</t>
  </si>
  <si>
    <t xml:space="preserve">W poniższych tabelach dane dla pojazdów drogowych spalinowych dotyczą całości reprezentatywnej floty pojazdów w Polsce z 2019 roku, z uwzględnieniem wszystkich rodzajów paliw. </t>
  </si>
  <si>
    <t xml:space="preserve">Dla uproszczenia należy przyjąć, że aktualnie udział pojazdów elektrycznych (w tym również hybrydowych-elektrycznych) w całej flocie pojazdów poruszających się po drogach w Polsce wynosi 0%. </t>
  </si>
  <si>
    <t xml:space="preserve">Aktualnie flota pojazdów drogowych składa się w 100% zpojazdów spalinowych i 0% pojazdów elektrycznych. </t>
  </si>
  <si>
    <r>
      <t xml:space="preserve">We flocie samochodów osobowych udziały pojazdów elektrycznych będą rosły, a pojazdów spalinowych </t>
    </r>
    <r>
      <rPr>
        <sz val="11"/>
        <color theme="1"/>
        <rFont val="Calibri"/>
        <family val="2"/>
        <charset val="238"/>
      </rPr>
      <t>–</t>
    </r>
    <r>
      <rPr>
        <sz val="11"/>
        <color theme="1"/>
        <rFont val="Calibri"/>
        <family val="2"/>
        <charset val="238"/>
        <scheme val="minor"/>
      </rPr>
      <t xml:space="preserve"> malały (w tym samym tempie dla wszystkich rodzajów paliw), zgodnie z przyjętym scenariuszem prognoz. </t>
    </r>
  </si>
  <si>
    <t xml:space="preserve">Pomiędzy stanem aktualnym i rokiem 2030, a następnie pomiędzy latami scenariusza 2030 i 2050, udziały będą się zmieniały według interpolacji liniowej. Dla dalszych lat należy przyjąć strukturę jak w roku 2050. </t>
  </si>
  <si>
    <r>
      <t>1. Pojazdy drogowe spalinowe</t>
    </r>
    <r>
      <rPr>
        <sz val="11"/>
        <color theme="1"/>
        <rFont val="Calibri"/>
        <family val="2"/>
        <charset val="238"/>
        <scheme val="minor"/>
      </rPr>
      <t xml:space="preserve"> (bez elektrycznych i hybrydowo-elektrycznych – patrz poniżej w pkt 2) </t>
    </r>
  </si>
  <si>
    <t xml:space="preserve">Przyjęto uproszczenie, że udziały pojazdów spalinowych używających benzyny i oleju napędowego będą stałe w całym okresie projekcji. Według przeprowadzonych obliczeń, wpływ zmian prognozowanej struktury floty pojazdów spalinowych na zużycie paliwa [ltr/ poj-km] jest nieznaczny. </t>
  </si>
  <si>
    <t xml:space="preserve">Mnożniki te należy stosować do łącznych VOC (nie tylko do kosztów zużycia paliwa lub energii elektrycznej). </t>
  </si>
  <si>
    <t xml:space="preserve">- Różnica wartości wskaźnika szorstkości nawierzchni IRI pomiędzy drogą o nawierzchni dobrej (IRI około 1-2 m/km) i zdegradowanej (IRI około 6-7 m/km). </t>
  </si>
  <si>
    <t xml:space="preserve">- Siła wpływu oddziaływania pogorszenia jakości nawierzchni na warunki użytkowania drogi dla pojazdów LV i HGV. </t>
  </si>
  <si>
    <r>
      <t xml:space="preserve">- Korzyść z poprawy jakości nawierzchni przy prędkościach do 50 km/h stanowi </t>
    </r>
    <r>
      <rPr>
        <u/>
        <sz val="11"/>
        <color theme="1"/>
        <rFont val="Calibri"/>
        <family val="2"/>
        <charset val="238"/>
        <scheme val="minor"/>
      </rPr>
      <t>połowę</t>
    </r>
    <r>
      <rPr>
        <sz val="11"/>
        <color theme="1"/>
        <rFont val="Calibri"/>
        <family val="2"/>
        <charset val="238"/>
        <scheme val="minor"/>
      </rPr>
      <t xml:space="preserve"> korzyści z poprawy jakości nawierzchni przy prędkościach powyżej 100 km/h. </t>
    </r>
  </si>
  <si>
    <t>Źródło: "Optimisation of Maintenance", OECD/ITF 2012, str. 12</t>
  </si>
  <si>
    <t xml:space="preserve">Dodatkowo, dla dróg w terenie falistym (tzn. jeśli nachylenie podłużne drogi wynosi pomiędzy 2% i 6%), należy przemnożyć wartości dla terenu płaskiego przez poniższe współczynniki. </t>
  </si>
  <si>
    <t xml:space="preserve">Pominięto współczynniki dla dróg w terenie górskim, tj. o nachyleniu podłużnym powyżej 6%, ponieważ nie mają one istotnego znaczenia dla oceny przez CUPT projektów transportowych realizowanych w Polsce. </t>
  </si>
  <si>
    <t xml:space="preserve">W obliczeniach mnożników nachylenia podłużnego drogi uwzględniono, że teren falisty zwiększa zużycie paliwa lub energii w pojazdach lekkich o 15% oraz uwzględniono, że łączny VOC oprócz kosztu zużycia paliwa lub energii obejmuje również koszt posiadania samochodu. 
W przypadku HGV przyjęto dodatkowe założenia dotyczące funkcji zużycia paliwa. </t>
  </si>
  <si>
    <t>Średnioroczne ceny detaliczne wybranych rodzajów paliw samochodowych w Polsce</t>
  </si>
  <si>
    <t xml:space="preserve">Udział podatków i opłat w cenach detalicznych paliw w Polsce </t>
  </si>
  <si>
    <t>Benzyna Pb 95</t>
  </si>
  <si>
    <t>Źródło: Polska Organizacja Przemysłu i Handlu Naftowego</t>
  </si>
  <si>
    <r>
      <t>Wartości przedstawione w: "Ścieżki redukcji emisji CO</t>
    </r>
    <r>
      <rPr>
        <i/>
        <vertAlign val="subscript"/>
        <sz val="11"/>
        <color theme="1"/>
        <rFont val="Calibri"/>
        <family val="2"/>
        <charset val="238"/>
        <scheme val="minor"/>
      </rPr>
      <t>2</t>
    </r>
    <r>
      <rPr>
        <i/>
        <sz val="11"/>
        <color theme="1"/>
        <rFont val="Calibri"/>
        <family val="2"/>
        <charset val="238"/>
        <scheme val="minor"/>
      </rPr>
      <t xml:space="preserve"> w sektorze transportu w Polsce w kontekście „Europejskiego Zielonego Ładu”", CAKE/KOBiZE, październik 2020, str. 21, Rys. 8. Struktura ceny detalicznej benzyny EU95 i oleju napędowego średnio w 2019 r. w Polsce</t>
    </r>
  </si>
  <si>
    <t>Ceny detaliczne wybranych rodzajów paliw samochodowych w Polsce, bez podatków i opłat</t>
  </si>
  <si>
    <t xml:space="preserve">Zużycie pojazdu (odpisy wartości zakupu) i inne koszty związane z obsługą i posiadaniem samochodu, bez podatków i opłat. </t>
  </si>
  <si>
    <t>Źródło: Obliczenia własne na podstawie "Optimisation of Maintenance", OECD/ITF 2012, str. 12</t>
  </si>
  <si>
    <t xml:space="preserve">[1] koszt zużycia paliwa, bez podatków i opłat </t>
  </si>
  <si>
    <t xml:space="preserve">[2] zużycie pojazdu (odpisy wartości zakupu) i inne koszty związane z obsługą i posiadaniem samochodu, bez podatków i opłat </t>
  </si>
  <si>
    <t xml:space="preserve">Stawki jednostkowe kosztów nie obejmują podatków i opłat, aby uwzględnić ceny rozrachunkowe (shadow prices) zasobów na rynku zakłóconym przez regulację i transfery fiskalne. </t>
  </si>
  <si>
    <t xml:space="preserve">Zakłada się brak realnego wzrostu jednostkowych kosztów eksploatacji pojazdów w czasie. Dlatego należy uwzględnić tylko indeksację nominalną do roku bazowego wskaźnikiem inflacji CPI. </t>
  </si>
  <si>
    <t>2. Pojazdy drogowe elektryczne i hybrydowe-elektryczne</t>
  </si>
  <si>
    <t>Wskaźniki zużycia energii w transporcie</t>
  </si>
  <si>
    <t>Źródło: "EIB Project Carbon Footprint Methodologies" (wersja 11.1, lipiec 2020), Tables A1.7 Transport Emissions Factors - Road transport</t>
  </si>
  <si>
    <t>Średnioroczna cena detaliczna energii elektrycznej w Polsce, bez podatków i opłat</t>
  </si>
  <si>
    <t xml:space="preserve">Do celów analiz kosztów i korzyści bardziej stosowna jest cena energii elektrycznej dla konsumentów nie będących gospodarstwami domowymi. </t>
  </si>
  <si>
    <t xml:space="preserve">Ceny energii elektrycznej dla gospodarstw domowych podlegają zniekształceniom powodowanym przez regulację taryf, która ma na celu ochronę tych konsumentów. </t>
  </si>
  <si>
    <t xml:space="preserve">Przyjęto upraszczające założenie, że w kategorii LV koszty jednostkowe posiadania samochodu elektrycznego są takie same jak dla samochodu spalinowego. </t>
  </si>
  <si>
    <t xml:space="preserve">Dla potrzeb analiz kosztów i korzyści, spośród wszystkich wartości dostępnych w opracowaniu źródłowym EIB zaleca się wykorzystanie przede wszystkim wartości z pozycji "Samochód osobowy, elektryczny (średni rozmiar)", przeciętnie wszystkie warunki ruchu. </t>
  </si>
  <si>
    <t xml:space="preserve">Poniższa przykładowa tabela uwzględnia zmiany struktury floty pojazdów drogowych pod względem rodzaju paliwa (napęd spalinowy, elektryczny) w kolejnych latach projekcji. </t>
  </si>
  <si>
    <r>
      <rPr>
        <u/>
        <sz val="11"/>
        <color theme="1"/>
        <rFont val="Calibri"/>
        <family val="2"/>
        <charset val="238"/>
        <scheme val="minor"/>
      </rPr>
      <t>UWAGA</t>
    </r>
    <r>
      <rPr>
        <sz val="11"/>
        <color theme="1"/>
        <rFont val="Calibri"/>
        <family val="2"/>
        <charset val="238"/>
        <scheme val="minor"/>
      </rPr>
      <t xml:space="preserve">, poniższa przykładowa tabela oparta jest na odwołaniach do określonych wartości w przykładowej tabeli w wierszu 286 oraz do określonych mnożników nachylenia podłużnego drogi oraz jakości nawierzchni drogi. W związku z tym w przypadku zmian (np. zmiany kategorii pojazdu elektrycznego w wierszu 286, terenu na falisty, nawierzchni na zdegradowaną), wartości przedstawione w poniższej tabeli przykładowej nie będą zgodne z opisami. </t>
    </r>
  </si>
  <si>
    <t>Koszty jednostkowe eksploatacji pociągów w przewozach ładunków</t>
  </si>
  <si>
    <t>Koszty jednostkowe eksploatacji pociągów, wyłącznie napęd [EUR/poc-km], ceny z roku 2010</t>
  </si>
  <si>
    <t xml:space="preserve">Stawki kosztów jednostkowych dla poszczególnych krajów zostały oparte na kosztach transportu kolejowego w 15 krajach UE objętych badaniem. </t>
  </si>
  <si>
    <r>
      <t>Wskaźniki emisyjności [g CO</t>
    </r>
    <r>
      <rPr>
        <b/>
        <vertAlign val="subscript"/>
        <sz val="11"/>
        <color theme="1"/>
        <rFont val="Calibri"/>
        <family val="2"/>
        <charset val="238"/>
        <scheme val="minor"/>
      </rPr>
      <t>2</t>
    </r>
    <r>
      <rPr>
        <b/>
        <sz val="11"/>
        <color theme="1"/>
        <rFont val="Calibri"/>
        <family val="2"/>
        <charset val="238"/>
        <scheme val="minor"/>
      </rPr>
      <t>(e)/ poj-km]</t>
    </r>
  </si>
  <si>
    <r>
      <t>Emisyjność GHG [g CO</t>
    </r>
    <r>
      <rPr>
        <b/>
        <vertAlign val="subscript"/>
        <sz val="11"/>
        <color theme="1"/>
        <rFont val="Calibri"/>
        <family val="2"/>
        <charset val="238"/>
        <scheme val="minor"/>
      </rPr>
      <t>2</t>
    </r>
    <r>
      <rPr>
        <b/>
        <sz val="11"/>
        <color theme="1"/>
        <rFont val="Calibri"/>
        <family val="2"/>
        <charset val="238"/>
        <scheme val="minor"/>
      </rPr>
      <t>(e)/ poj-km]</t>
    </r>
  </si>
  <si>
    <t xml:space="preserve">Źródło: Obliczenia własne na podstawie: </t>
  </si>
  <si>
    <t>[1] "Parameterisation of fuel consumption and CO2 emissions of passenger cars and light commercial vehicles for modelling purposes, JRC 2011;</t>
  </si>
  <si>
    <t>[2] EMEP/EEA air pollutant emission inventory guidebook, 2019, dołączony plik: 1.A.3.b.i-iv Road Transport Appendix 4 Emission Factors 2019 (Sept. 2020)</t>
  </si>
  <si>
    <r>
      <t>Powyższe wskaźniki emisyjności dotyczą CO</t>
    </r>
    <r>
      <rPr>
        <vertAlign val="subscript"/>
        <sz val="11"/>
        <color theme="1"/>
        <rFont val="Calibri"/>
        <family val="2"/>
        <charset val="238"/>
        <scheme val="minor"/>
      </rPr>
      <t>2</t>
    </r>
    <r>
      <rPr>
        <sz val="11"/>
        <color theme="1"/>
        <rFont val="Calibri"/>
        <family val="2"/>
        <charset val="238"/>
        <scheme val="minor"/>
      </rPr>
      <t xml:space="preserve"> bez uwzględnienia pozostałych gazów cieplarnianych, tj. metanu CH</t>
    </r>
    <r>
      <rPr>
        <vertAlign val="subscript"/>
        <sz val="11"/>
        <color theme="1"/>
        <rFont val="Calibri"/>
        <family val="2"/>
        <charset val="238"/>
        <scheme val="minor"/>
      </rPr>
      <t>4</t>
    </r>
    <r>
      <rPr>
        <sz val="11"/>
        <color theme="1"/>
        <rFont val="Calibri"/>
        <family val="2"/>
        <charset val="238"/>
        <scheme val="minor"/>
      </rPr>
      <t xml:space="preserve"> (przelicznik x28) i podtlenku azotu N</t>
    </r>
    <r>
      <rPr>
        <vertAlign val="subscript"/>
        <sz val="11"/>
        <color theme="1"/>
        <rFont val="Calibri"/>
        <family val="2"/>
        <charset val="238"/>
        <scheme val="minor"/>
      </rPr>
      <t>2</t>
    </r>
    <r>
      <rPr>
        <sz val="11"/>
        <color theme="1"/>
        <rFont val="Calibri"/>
        <family val="2"/>
        <charset val="238"/>
        <scheme val="minor"/>
      </rPr>
      <t xml:space="preserve">O (przelicznik x265). </t>
    </r>
  </si>
  <si>
    <r>
      <t>Zgodnie z metodyką "EIB Project Carbon Footprint Methodologies" (wersja 11.1, lipiec 2020) przyjęto, że wpływ gazów cieplarnianych innych niż CO</t>
    </r>
    <r>
      <rPr>
        <vertAlign val="subscript"/>
        <sz val="11"/>
        <color theme="1"/>
        <rFont val="Calibri"/>
        <family val="2"/>
        <charset val="238"/>
        <scheme val="minor"/>
      </rPr>
      <t>2</t>
    </r>
    <r>
      <rPr>
        <sz val="11"/>
        <color theme="1"/>
        <rFont val="Calibri"/>
        <family val="2"/>
        <charset val="238"/>
        <scheme val="minor"/>
      </rPr>
      <t xml:space="preserve"> jest pomijalny.  </t>
    </r>
  </si>
  <si>
    <r>
      <t>W związku z tym dla potrzeb obliczeń podane wskaźniki emisyjności można traktować jako dotyczące ekwiwalentu CO</t>
    </r>
    <r>
      <rPr>
        <vertAlign val="subscript"/>
        <sz val="11"/>
        <color theme="1"/>
        <rFont val="Calibri"/>
        <family val="2"/>
        <charset val="238"/>
        <scheme val="minor"/>
      </rPr>
      <t>2</t>
    </r>
    <r>
      <rPr>
        <sz val="11"/>
        <color theme="1"/>
        <rFont val="Calibri"/>
        <family val="2"/>
        <charset val="238"/>
        <scheme val="minor"/>
      </rPr>
      <t xml:space="preserve">. </t>
    </r>
  </si>
  <si>
    <t xml:space="preserve">W obliczeniach mnożników nachylenia podłużnego drogi uwzględniono, że teren falisty zwiększa zużycie paliwa lub energii w pojazdach lekkich o 15%. W przypadku HGV przyjęto dodatkowe założenia dotyczące funkcji zużycia paliwa. </t>
  </si>
  <si>
    <r>
      <t>Koszt jednostkowy ukryty zmiany klimatu, EUR za 1 tonę ekwiwalentu CO</t>
    </r>
    <r>
      <rPr>
        <b/>
        <vertAlign val="subscript"/>
        <sz val="11"/>
        <color theme="1"/>
        <rFont val="Calibri"/>
        <family val="2"/>
        <charset val="238"/>
        <scheme val="minor"/>
      </rPr>
      <t>2</t>
    </r>
    <r>
      <rPr>
        <b/>
        <sz val="11"/>
        <color theme="1"/>
        <rFont val="Calibri"/>
        <family val="2"/>
        <charset val="238"/>
        <scheme val="minor"/>
      </rPr>
      <t xml:space="preserve"> na podstawie EIB Group Climate Bank Roadmap (2020)</t>
    </r>
  </si>
  <si>
    <r>
      <t>Źródło: EIB Group Climate Bank Roadmap 2021-2025 (November 2020), Table A6: Recommended aligned EIB shadow cost of carbon (€2016/tCO</t>
    </r>
    <r>
      <rPr>
        <i/>
        <vertAlign val="subscript"/>
        <sz val="11"/>
        <color theme="1"/>
        <rFont val="Calibri"/>
        <family val="2"/>
        <charset val="238"/>
        <scheme val="minor"/>
      </rPr>
      <t>2</t>
    </r>
    <r>
      <rPr>
        <i/>
        <sz val="11"/>
        <color theme="1"/>
        <rFont val="Calibri"/>
        <family val="2"/>
        <charset val="238"/>
        <scheme val="minor"/>
      </rPr>
      <t>e) for the period 2020-2050.</t>
    </r>
  </si>
  <si>
    <r>
      <t>Wskaźniki emisyjności w g CO</t>
    </r>
    <r>
      <rPr>
        <vertAlign val="subscript"/>
        <sz val="11"/>
        <color theme="1"/>
        <rFont val="Calibri"/>
        <family val="2"/>
        <charset val="238"/>
        <scheme val="minor"/>
      </rPr>
      <t>2</t>
    </r>
    <r>
      <rPr>
        <sz val="11"/>
        <color theme="1"/>
        <rFont val="Calibri"/>
        <family val="2"/>
        <charset val="238"/>
        <scheme val="minor"/>
      </rPr>
      <t>/kWh (=kg CO</t>
    </r>
    <r>
      <rPr>
        <vertAlign val="subscript"/>
        <sz val="11"/>
        <color theme="1"/>
        <rFont val="Calibri"/>
        <family val="2"/>
        <charset val="238"/>
        <scheme val="minor"/>
      </rPr>
      <t>2</t>
    </r>
    <r>
      <rPr>
        <sz val="11"/>
        <color theme="1"/>
        <rFont val="Calibri"/>
        <family val="2"/>
        <charset val="238"/>
        <scheme val="minor"/>
      </rPr>
      <t>/MWh, =tony CO</t>
    </r>
    <r>
      <rPr>
        <vertAlign val="subscript"/>
        <sz val="11"/>
        <color theme="1"/>
        <rFont val="Calibri"/>
        <family val="2"/>
        <charset val="238"/>
        <scheme val="minor"/>
      </rPr>
      <t>2</t>
    </r>
    <r>
      <rPr>
        <sz val="11"/>
        <color theme="1"/>
        <rFont val="Calibri"/>
        <family val="2"/>
        <charset val="238"/>
        <scheme val="minor"/>
      </rPr>
      <t>/GWh)</t>
    </r>
  </si>
  <si>
    <r>
      <t>Wpływ gazów cieplarnianych innych niż CO</t>
    </r>
    <r>
      <rPr>
        <vertAlign val="subscript"/>
        <sz val="11"/>
        <color theme="1"/>
        <rFont val="Calibri"/>
        <family val="2"/>
        <charset val="238"/>
        <scheme val="minor"/>
      </rPr>
      <t>2</t>
    </r>
    <r>
      <rPr>
        <sz val="11"/>
        <color theme="1"/>
        <rFont val="Calibri"/>
        <family val="2"/>
        <charset val="238"/>
        <scheme val="minor"/>
      </rPr>
      <t xml:space="preserve"> jest pomijalny. W związku z tym dla potrzeb obliczeń podane wskaźniki emisyjności można traktować jako dotyczące ekwiwalentu CO</t>
    </r>
    <r>
      <rPr>
        <vertAlign val="subscript"/>
        <sz val="11"/>
        <color theme="1"/>
        <rFont val="Calibri"/>
        <family val="2"/>
        <charset val="238"/>
        <scheme val="minor"/>
      </rPr>
      <t>2</t>
    </r>
    <r>
      <rPr>
        <sz val="11"/>
        <color theme="1"/>
        <rFont val="Calibri"/>
        <family val="2"/>
        <charset val="238"/>
        <scheme val="minor"/>
      </rPr>
      <t>.</t>
    </r>
  </si>
  <si>
    <t>Produkcja energii elektrycznej w Polsce ogółem</t>
  </si>
  <si>
    <t>w tym elektrownie zawodowe:</t>
  </si>
  <si>
    <t>na węglu kamiennym</t>
  </si>
  <si>
    <t>na węglu brunatnym</t>
  </si>
  <si>
    <t>Udział energii elektrycznej produkowanej z węgla</t>
  </si>
  <si>
    <t xml:space="preserve">Źródło 2010: Raport roczny z funkcjonowania Krajowego Systemu Energetycznego - 2010 r., Polskie Sieci Elektroenergetyczne S.A.; https://www.pse.pl/dane-systemowe/funkcjonowanie-kse/raporty-roczne-z-funkcjonowania-kse-za-rok/raporty-za-rok-2010; Tabela 6.1. Struktura produkcji energii elektrycznej w elektrowniach krajowych, wielkości wymiany energii elektrycznej z zagranicą i krajowe zużycie energii elektrycznej w latach 2008-2010. </t>
  </si>
  <si>
    <t xml:space="preserve">Źródło 2019: Raport roczny z funkcjonowania Krajowego Systemu Energetycznego - 2019 r., PSE S.A.; https://www.pse.pl/dane-systemowe/funkcjonowanie-kse/raporty-roczne-z-funkcjonowania-kse-za-rok/raporty-za-rok-2019; Tabela 6.1. Struktura produkcji energii elektrycznej w elektrowniach krajowych, wielkości wymiany energii elektrycznej z zagranicą i krajowe zużycie energii elektrycznej w latach 2018÷2019 [GWh]. </t>
  </si>
  <si>
    <t xml:space="preserve">Źródło 2020: Raport roczny z funkcjonowania Krajowego Systemu Energetycznego - 2020 r., PSE S.A.; https://www.pse.pl/dane-systemowe/funkcjonowanie-kse/raporty-roczne-z-funkcjonowania-kse-za-rok/raporty-za-rok-2020; Tabela 6.1. Struktura produkcji energii elektrycznej w elektrowniach krajowych, wielkości wymiany energii elektrycznej z zagranicą i krajowe zużycie energii elektrycznej w latach 2018÷2020 [GWh]. </t>
  </si>
  <si>
    <t xml:space="preserve">Źródło 2019: ”Wskaźniki emisyjności CO2, SO2, NOx, CO i pyłu całkowitego dla energii elektrycznej na podstawie informacji zawartych w Krajowej bazie o emisjach gazów cieplarnianych i innych substancji za 2019 rok”, KOBiZE, grudzień 2020, rozdział 2, strona 4, tabela "Wskaźniki emisji w [kg/MWh] dla odbiorców końcowych energii elektrycznej"; https://www.kobize.pl/uploads/materialy/materialy_do_pobrania/wskazniki_emisyjnosci/Wskazniki_emisyjnosci_grudzien_2020.pdf </t>
  </si>
  <si>
    <t xml:space="preserve">Źródło 2010: ”Referencyjny wskaźnik jednostkowej emisyjności dwutlenku węgla przy produkcji energii elektrycznej do wyznaczania poziomu bazowego dla projektów JI realizowanych w Polsce”, Krajowy Ośrodek Bilansowania i Zarządzania Emisjami, Warszawa, czerwiec 2011 r.; https://www.kobize.pl/pl/article/2011/id/137/referencyjny-wskaznik-jednostkowej-emisyjnosci-dwutlenku-wegla-przy-produkcji-energii-elektrycznej-do-wyznaczania-poziomu-bazowego-dla-projektow-ji-realizowanych-w-polsce </t>
  </si>
  <si>
    <r>
      <t>Wskaźnik elastyczności wpływu redukcji energii produkowanej z paliw kopalnych na emisję CO</t>
    </r>
    <r>
      <rPr>
        <vertAlign val="subscript"/>
        <sz val="11"/>
        <color theme="1"/>
        <rFont val="Calibri"/>
        <family val="2"/>
        <charset val="238"/>
        <scheme val="minor"/>
      </rPr>
      <t>2</t>
    </r>
  </si>
  <si>
    <t>Zmiana udziału paliw kopalnych w produkcji energii w latach 2010-2019</t>
  </si>
  <si>
    <r>
      <t>Zmiana poziomu wskaźnika emisji CO</t>
    </r>
    <r>
      <rPr>
        <vertAlign val="subscript"/>
        <sz val="11"/>
        <color theme="1"/>
        <rFont val="Calibri"/>
        <family val="2"/>
        <charset val="238"/>
        <scheme val="minor"/>
      </rPr>
      <t>2</t>
    </r>
    <r>
      <rPr>
        <sz val="11"/>
        <color theme="1"/>
        <rFont val="Calibri"/>
        <family val="2"/>
        <charset val="238"/>
        <scheme val="minor"/>
      </rPr>
      <t xml:space="preserve"> w latach 2010-2019</t>
    </r>
  </si>
  <si>
    <t>Projekcja udziału energii elektrycznej produkowanej z węgla</t>
  </si>
  <si>
    <t xml:space="preserve">Źródło: Polityka energetyczna Polski do roku 2040 (uchwała Rady Ministrów z dnia 2 lutego 2021 r.), Załącznik 2: Wnioski z analiz prognostycznych dla sektora energetycznego, Tabela 22. Prognoza produkcji energii elektrycznej brutto wg paliw [TWh] </t>
  </si>
  <si>
    <r>
      <t>Wskaźnik redukcji emisji CO</t>
    </r>
    <r>
      <rPr>
        <b/>
        <vertAlign val="subscript"/>
        <sz val="11"/>
        <color theme="1"/>
        <rFont val="Calibri"/>
        <family val="2"/>
        <charset val="238"/>
        <scheme val="minor"/>
      </rPr>
      <t>2</t>
    </r>
    <r>
      <rPr>
        <b/>
        <sz val="11"/>
        <color theme="1"/>
        <rFont val="Calibri"/>
        <family val="2"/>
        <charset val="238"/>
        <scheme val="minor"/>
      </rPr>
      <t xml:space="preserve"> na skutek ograniczenia produkcji energii elektrycznej w oparciu o paliwa kopalne (węgiel kamienny i węgiel brunatny) </t>
    </r>
  </si>
  <si>
    <t xml:space="preserve">Spadek udziału paliw kopalnych w produkcji energii elektrycznej względem 2019 r. </t>
  </si>
  <si>
    <r>
      <t>Redukcja emisji CO</t>
    </r>
    <r>
      <rPr>
        <vertAlign val="subscript"/>
        <sz val="11"/>
        <color theme="1"/>
        <rFont val="Calibri"/>
        <family val="2"/>
        <charset val="238"/>
        <scheme val="minor"/>
      </rPr>
      <t>2</t>
    </r>
    <r>
      <rPr>
        <sz val="11"/>
        <color theme="1"/>
        <rFont val="Calibri"/>
        <family val="2"/>
        <charset val="238"/>
        <scheme val="minor"/>
      </rPr>
      <t xml:space="preserve"> z 1 kWh (względem 2019 r.) </t>
    </r>
  </si>
  <si>
    <r>
      <t>Wskaźnik poziomu emisji CO</t>
    </r>
    <r>
      <rPr>
        <b/>
        <vertAlign val="subscript"/>
        <sz val="11"/>
        <color theme="1"/>
        <rFont val="Calibri"/>
        <family val="2"/>
        <charset val="238"/>
        <scheme val="minor"/>
      </rPr>
      <t>2</t>
    </r>
    <r>
      <rPr>
        <b/>
        <sz val="11"/>
        <color theme="1"/>
        <rFont val="Calibri"/>
        <family val="2"/>
        <charset val="238"/>
        <scheme val="minor"/>
      </rPr>
      <t xml:space="preserve"> z 1 kWh (względem 2019 r.) </t>
    </r>
  </si>
  <si>
    <r>
      <t>Wskaźniki emisji CO</t>
    </r>
    <r>
      <rPr>
        <b/>
        <vertAlign val="subscript"/>
        <sz val="11"/>
        <color theme="1"/>
        <rFont val="Calibri"/>
        <family val="2"/>
        <charset val="238"/>
        <scheme val="minor"/>
      </rPr>
      <t>2</t>
    </r>
    <r>
      <rPr>
        <b/>
        <sz val="11"/>
        <color theme="1"/>
        <rFont val="Calibri"/>
        <family val="2"/>
        <charset val="238"/>
        <scheme val="minor"/>
      </rPr>
      <t xml:space="preserve"> w [g/kWh] dla odbiorców końcowych sieciowej energii elektrycznej</t>
    </r>
  </si>
  <si>
    <t xml:space="preserve">KOBiZE, Wskaźniki emisyjności CO2, SO2, NOx, CO i pyłu całkowitego dla energii elektrycznej na podstawie informacji zawartych w Krajowej bazie o emisjach gazów cieplarnianych i innych substancji za 2019 rok i analogiczny raport za rok 2010 </t>
  </si>
  <si>
    <t xml:space="preserve">PSE S.A., Raport roczny z funkcjonowania Krajowego Systemu Energetycznego - 2010 i 2019 r. </t>
  </si>
  <si>
    <t xml:space="preserve">Polityka energetyczna Polski do roku 2040 (Załącznik 2: Wnioski z analiz prognostycznych dla sektora energetycznego, Tabela 22) </t>
  </si>
  <si>
    <t xml:space="preserve">Obliczenia CUPT na podstawie: </t>
  </si>
  <si>
    <t xml:space="preserve">Pojazdy drogowe, 
elektryczne i hybrydowe-elektryczne: </t>
  </si>
  <si>
    <r>
      <t>Emisyjność GHG (*) 
[g CO</t>
    </r>
    <r>
      <rPr>
        <vertAlign val="subscript"/>
        <sz val="11"/>
        <color theme="1"/>
        <rFont val="Calibri"/>
        <family val="2"/>
        <charset val="238"/>
        <scheme val="minor"/>
      </rPr>
      <t>2</t>
    </r>
    <r>
      <rPr>
        <sz val="11"/>
        <color theme="1"/>
        <rFont val="Calibri"/>
        <family val="2"/>
        <charset val="238"/>
        <scheme val="minor"/>
      </rPr>
      <t>(e)/ poj-km]</t>
    </r>
  </si>
  <si>
    <t xml:space="preserve">Źródło: "EIB Project Carbon Footprint Methodologies" (wersja 11.1, lipiec 2020), Tables A1.7 Transport Emissions Factors - Road transport </t>
  </si>
  <si>
    <t xml:space="preserve">Pierwotne źródło danych wykazane w "EIB Project Carbon Footprint Methodologies": COPERT (narzędzie do obliczania emisji opracowane przez EEA) completed with STREAM (CE DELFT) </t>
  </si>
  <si>
    <t xml:space="preserve">(*) Uwzględnione są tylko emisje ze zużycia paliwa w pojeździe (tzw. "Tank-to-Wheel", TTW), bez emisji związanych z wytwarzaniem i przesyłem energii elektrycznej sieciowej zużywanej przez pojazd. </t>
  </si>
  <si>
    <t>(**) Łącznie emisje związane z wytwarzaniem i przesyłem energii elektrycznej sieciowej zużywanej przez pojazd oraz emisje związane ze zużyciem paliwa w pojeździe (tzw. "Tank-to-Wheel", TTW).</t>
  </si>
  <si>
    <r>
      <t>Emisyjność GHG (**) [g CO</t>
    </r>
    <r>
      <rPr>
        <vertAlign val="subscript"/>
        <sz val="11"/>
        <color theme="1"/>
        <rFont val="Calibri"/>
        <family val="2"/>
        <charset val="238"/>
        <scheme val="minor"/>
      </rPr>
      <t>2</t>
    </r>
    <r>
      <rPr>
        <sz val="11"/>
        <color theme="1"/>
        <rFont val="Calibri"/>
        <family val="2"/>
        <charset val="238"/>
        <scheme val="minor"/>
      </rPr>
      <t>(e)/ poj-km]</t>
    </r>
  </si>
  <si>
    <r>
      <t>Stawka jednostkowa, 
EUR 2016 /tCO</t>
    </r>
    <r>
      <rPr>
        <vertAlign val="subscript"/>
        <sz val="11"/>
        <color theme="1"/>
        <rFont val="Calibri"/>
        <family val="2"/>
        <charset val="238"/>
        <scheme val="minor"/>
      </rPr>
      <t>2</t>
    </r>
    <r>
      <rPr>
        <sz val="11"/>
        <color theme="1"/>
        <rFont val="Calibri"/>
        <family val="2"/>
        <charset val="238"/>
        <scheme val="minor"/>
      </rPr>
      <t>e</t>
    </r>
  </si>
  <si>
    <t>Roczna zmiana, EUR 2016</t>
  </si>
  <si>
    <r>
      <t>Obliczenia CUPT na podstawie: EIB Group Climate Bank Roadmap 2021-2025 (November 2020), Table A6: Recommended aligned EIB shadow cost of carbon (€</t>
    </r>
    <r>
      <rPr>
        <i/>
        <vertAlign val="subscript"/>
        <sz val="11"/>
        <color theme="1"/>
        <rFont val="Calibri"/>
        <family val="2"/>
        <charset val="238"/>
        <scheme val="minor"/>
      </rPr>
      <t>2016</t>
    </r>
    <r>
      <rPr>
        <i/>
        <sz val="11"/>
        <color theme="1"/>
        <rFont val="Calibri"/>
        <family val="2"/>
        <charset val="238"/>
        <scheme val="minor"/>
      </rPr>
      <t>/tCO</t>
    </r>
    <r>
      <rPr>
        <i/>
        <vertAlign val="subscript"/>
        <sz val="11"/>
        <color theme="1"/>
        <rFont val="Calibri"/>
        <family val="2"/>
        <charset val="238"/>
        <scheme val="minor"/>
      </rPr>
      <t>2</t>
    </r>
    <r>
      <rPr>
        <i/>
        <sz val="11"/>
        <color theme="1"/>
        <rFont val="Calibri"/>
        <family val="2"/>
        <charset val="238"/>
        <scheme val="minor"/>
      </rPr>
      <t xml:space="preserve">e) for the period 2020-2050. </t>
    </r>
  </si>
  <si>
    <r>
      <t xml:space="preserve">I METODA </t>
    </r>
    <r>
      <rPr>
        <b/>
        <sz val="11"/>
        <color theme="1"/>
        <rFont val="Calibri"/>
        <family val="2"/>
        <charset val="238"/>
      </rPr>
      <t>–</t>
    </r>
    <r>
      <rPr>
        <b/>
        <sz val="11"/>
        <color theme="1"/>
        <rFont val="Calibri"/>
        <family val="2"/>
        <charset val="238"/>
        <scheme val="minor"/>
      </rPr>
      <t xml:space="preserve"> domyślna: g CO</t>
    </r>
    <r>
      <rPr>
        <b/>
        <vertAlign val="subscript"/>
        <sz val="11"/>
        <color theme="1"/>
        <rFont val="Calibri"/>
        <family val="2"/>
        <charset val="238"/>
        <scheme val="minor"/>
      </rPr>
      <t>2</t>
    </r>
    <r>
      <rPr>
        <b/>
        <sz val="11"/>
        <color theme="1"/>
        <rFont val="Calibri"/>
        <family val="2"/>
        <charset val="238"/>
        <scheme val="minor"/>
      </rPr>
      <t>(e)/ miejsco-km i g CO</t>
    </r>
    <r>
      <rPr>
        <b/>
        <vertAlign val="subscript"/>
        <sz val="11"/>
        <color theme="1"/>
        <rFont val="Calibri"/>
        <family val="2"/>
        <charset val="238"/>
        <scheme val="minor"/>
      </rPr>
      <t>2</t>
    </r>
    <r>
      <rPr>
        <b/>
        <sz val="11"/>
        <color theme="1"/>
        <rFont val="Calibri"/>
        <family val="2"/>
        <charset val="238"/>
        <scheme val="minor"/>
      </rPr>
      <t>(e)/ pociągo-km</t>
    </r>
  </si>
  <si>
    <r>
      <t>Emisyjność GHG (*) 
[g CO</t>
    </r>
    <r>
      <rPr>
        <vertAlign val="subscript"/>
        <sz val="11"/>
        <color theme="1"/>
        <rFont val="Calibri"/>
        <family val="2"/>
        <charset val="238"/>
        <scheme val="minor"/>
      </rPr>
      <t>2</t>
    </r>
    <r>
      <rPr>
        <sz val="11"/>
        <color theme="1"/>
        <rFont val="Calibri"/>
        <family val="2"/>
        <charset val="238"/>
        <scheme val="minor"/>
      </rPr>
      <t>(e)/ msc-km]</t>
    </r>
  </si>
  <si>
    <t>Regionalne i Podmiejskie</t>
  </si>
  <si>
    <t xml:space="preserve">(*) Uwzględnione są tylko emisje ze zużycia paliwa przez pociąg (tzw. "Tank-to-Wheel", TTW), bez emisji związanych z wytwarzaniem i przesyłem energii elektrycznej sieciowej zużywanej przez pociąg. </t>
  </si>
  <si>
    <t>Źródło: "EIB Project Carbon Footprint Methodologies", lipiec 2020, Tables A1.7 Transport Emissions Factors - Rail passenger transport</t>
  </si>
  <si>
    <t xml:space="preserve">Pierwotne źródło danych wykazane w "EIB Project Carbon Footprint Methodologies": UIC </t>
  </si>
  <si>
    <r>
      <t>Emisyjność GHG (*) 
[g CO</t>
    </r>
    <r>
      <rPr>
        <vertAlign val="subscript"/>
        <sz val="11"/>
        <color theme="1"/>
        <rFont val="Calibri"/>
        <family val="2"/>
        <charset val="238"/>
        <scheme val="minor"/>
      </rPr>
      <t>2</t>
    </r>
    <r>
      <rPr>
        <sz val="11"/>
        <color theme="1"/>
        <rFont val="Calibri"/>
        <family val="2"/>
        <charset val="238"/>
        <scheme val="minor"/>
      </rPr>
      <t>(e)/ poc-km]</t>
    </r>
  </si>
  <si>
    <t>Średnio, wszystkie rodzaje 
(1000t - 21 wagonów)</t>
  </si>
  <si>
    <t>Masowe 
(1000t - 18 wagonów)</t>
  </si>
  <si>
    <t>Gabarytowe 
(1000t - 26 wagonów)</t>
  </si>
  <si>
    <t>Kontenerowe 
(1000t - 21 wagonów)</t>
  </si>
  <si>
    <t xml:space="preserve">(*) Uwzględnione są tylko emisje ze zużycia paliwa przez pociąg (tzw. "Tank-to-Wheel", TTW), bez emisji związanych z wytwarzaniem i przesyłem energii elektrycznej sieciowej zużywanej przez pociąg. </t>
  </si>
  <si>
    <r>
      <t>Wskaźniki emisyjności [g CO</t>
    </r>
    <r>
      <rPr>
        <b/>
        <vertAlign val="subscript"/>
        <sz val="11"/>
        <color theme="1"/>
        <rFont val="Calibri"/>
        <family val="2"/>
        <charset val="238"/>
        <scheme val="minor"/>
      </rPr>
      <t>2</t>
    </r>
    <r>
      <rPr>
        <b/>
        <sz val="11"/>
        <color theme="1"/>
        <rFont val="Calibri"/>
        <family val="2"/>
        <charset val="238"/>
        <scheme val="minor"/>
      </rPr>
      <t>(e)/ msc-km], [g CO</t>
    </r>
    <r>
      <rPr>
        <b/>
        <vertAlign val="subscript"/>
        <sz val="11"/>
        <color theme="1"/>
        <rFont val="Calibri"/>
        <family val="2"/>
        <charset val="238"/>
        <scheme val="minor"/>
      </rPr>
      <t>2</t>
    </r>
    <r>
      <rPr>
        <b/>
        <sz val="11"/>
        <color theme="1"/>
        <rFont val="Calibri"/>
        <family val="2"/>
        <charset val="238"/>
        <scheme val="minor"/>
      </rPr>
      <t>(e)/ poc-km]</t>
    </r>
  </si>
  <si>
    <t xml:space="preserve">(**) Łącznie emisje związane z wytwarzaniem i przesyłem energii elektrycznej sieciowej zużywanej przez pociąg oraz emisje związane ze zużyciem paliwa w pociągu (tzw. "Tank-to-Wheel", TTW). </t>
  </si>
  <si>
    <r>
      <t>Emisyjność GHG (**) [g CO</t>
    </r>
    <r>
      <rPr>
        <vertAlign val="subscript"/>
        <sz val="11"/>
        <color theme="1"/>
        <rFont val="Calibri"/>
        <family val="2"/>
        <charset val="238"/>
        <scheme val="minor"/>
      </rPr>
      <t>2</t>
    </r>
    <r>
      <rPr>
        <sz val="11"/>
        <color theme="1"/>
        <rFont val="Calibri"/>
        <family val="2"/>
        <charset val="238"/>
        <scheme val="minor"/>
      </rPr>
      <t>(e)/ msc-km]</t>
    </r>
  </si>
  <si>
    <r>
      <t>Emisyjność GHG (**) [g CO</t>
    </r>
    <r>
      <rPr>
        <vertAlign val="subscript"/>
        <sz val="11"/>
        <color theme="1"/>
        <rFont val="Calibri"/>
        <family val="2"/>
        <charset val="238"/>
        <scheme val="minor"/>
      </rPr>
      <t>2</t>
    </r>
    <r>
      <rPr>
        <sz val="11"/>
        <color theme="1"/>
        <rFont val="Calibri"/>
        <family val="2"/>
        <charset val="238"/>
        <scheme val="minor"/>
      </rPr>
      <t>(e)/ poc-km]</t>
    </r>
  </si>
  <si>
    <t xml:space="preserve">Powyższy algorytm kalkulacji wpływu zmiany klimatu może zostać zastosowany także dla innych środków transportu, na podstawie zużycia energii faktycznego lub typowego środka transportu w danej gałęzi. </t>
  </si>
  <si>
    <r>
      <t xml:space="preserve">II METODA </t>
    </r>
    <r>
      <rPr>
        <b/>
        <sz val="11"/>
        <color theme="1"/>
        <rFont val="Calibri"/>
        <family val="2"/>
        <charset val="238"/>
      </rPr>
      <t>–</t>
    </r>
    <r>
      <rPr>
        <b/>
        <sz val="11"/>
        <color theme="1"/>
        <rFont val="Calibri"/>
        <family val="2"/>
        <charset val="238"/>
        <scheme val="minor"/>
      </rPr>
      <t xml:space="preserve"> alternatywna: g CO</t>
    </r>
    <r>
      <rPr>
        <b/>
        <vertAlign val="subscript"/>
        <sz val="11"/>
        <color theme="1"/>
        <rFont val="Calibri"/>
        <family val="2"/>
        <charset val="238"/>
        <scheme val="minor"/>
      </rPr>
      <t>2</t>
    </r>
    <r>
      <rPr>
        <b/>
        <sz val="11"/>
        <color theme="1"/>
        <rFont val="Calibri"/>
        <family val="2"/>
        <charset val="238"/>
        <scheme val="minor"/>
      </rPr>
      <t>(e)/ brtkm</t>
    </r>
  </si>
  <si>
    <r>
      <t>Wskaźniki emisyjności [g CO</t>
    </r>
    <r>
      <rPr>
        <b/>
        <vertAlign val="subscript"/>
        <sz val="11"/>
        <color theme="1"/>
        <rFont val="Calibri"/>
        <family val="2"/>
        <charset val="238"/>
        <scheme val="minor"/>
      </rPr>
      <t>2</t>
    </r>
    <r>
      <rPr>
        <b/>
        <sz val="11"/>
        <color theme="1"/>
        <rFont val="Calibri"/>
        <family val="2"/>
        <charset val="238"/>
        <scheme val="minor"/>
      </rPr>
      <t>(e)/ brtkm]</t>
    </r>
  </si>
  <si>
    <t xml:space="preserve">Źródło: “Exploring non road Transport Emissions in Europe, Development of a Reference System on Emissions Factors for Rail, Maritime and Air Transport” (TRT Trasporti e Territorio Srl, Milan, 19 June 2003) strona 5, Tabela 2.2, dane za 2007 rok </t>
  </si>
  <si>
    <r>
      <t>g CO</t>
    </r>
    <r>
      <rPr>
        <vertAlign val="subscript"/>
        <sz val="11"/>
        <color theme="1"/>
        <rFont val="Calibri"/>
        <family val="2"/>
        <charset val="238"/>
        <scheme val="minor"/>
      </rPr>
      <t>2</t>
    </r>
    <r>
      <rPr>
        <sz val="11"/>
        <color theme="1"/>
        <rFont val="Calibri"/>
        <family val="2"/>
        <charset val="238"/>
        <scheme val="minor"/>
      </rPr>
      <t>(e)/ brtkm</t>
    </r>
  </si>
  <si>
    <t xml:space="preserve">Źródło: opracowanie własne na podstawie Niebieska Księga, Sektor kolejowy, Infrastruktura kolejowa, wrzesień 2015, Załącznik A, pkt 7 (str. 69) </t>
  </si>
  <si>
    <r>
      <t>Emisyjność GHG [g CO</t>
    </r>
    <r>
      <rPr>
        <vertAlign val="subscript"/>
        <sz val="11"/>
        <color theme="1"/>
        <rFont val="Calibri"/>
        <family val="2"/>
        <charset val="238"/>
        <scheme val="minor"/>
      </rPr>
      <t>2</t>
    </r>
    <r>
      <rPr>
        <sz val="11"/>
        <color theme="1"/>
        <rFont val="Calibri"/>
        <family val="2"/>
        <charset val="238"/>
        <scheme val="minor"/>
      </rPr>
      <t>(e)/ brtkm]</t>
    </r>
  </si>
  <si>
    <t>Motocykle i Motorowery</t>
  </si>
  <si>
    <t xml:space="preserve">[1] Handbook on the External Costs of Transport, EC (January 2019), dołączony plik "FINAL_marginal_costs_air-poll_climate_WTT_noise.xlsx", zakładka "road_airpoll_fleet_all" </t>
  </si>
  <si>
    <t xml:space="preserve">[2] Opracowanie metodyki i oszacowanie kosztów zewnętrznych emisji zanieczyszczeń do powietrza atmosferycznego ze środków transportu drogowego na poziomie kraju, GUS, 2018 (data publikacji 26.02.2019), dołączony plik „Załącznik nr 2 Tablice wynikowe.xlsx”, zakładka "Tabl. 12." oraz dołączony plik "Załącznik nr 4c_autobusy_miejskie.xlsx", zakładka "Ilość_autobusów". </t>
  </si>
  <si>
    <t xml:space="preserve">[3] Wartości dla samochodów osobowych spalinowych ważone, tak jak na potrzeby kosztów eksploatacji i kosztów zmiany klimatu, udziałami wg danych GUS o liczbie pojazdów samochodowych zarejestrowanych w Polsce według wybranych rodzajów stosowanego paliwa na koniec 2019 roku (nie udziałami w liczbie pojazdów wykorzystanej przez GUS w źródle [2] w COPERT IV). Źródło: Transport - wyniki działalności w 2019 roku, GUS, wrzesień 2020, Tablica 20 (53), liczby w pozycji "Razem" według Tablica 12 (45) i Tablica 13 (46) </t>
  </si>
  <si>
    <t xml:space="preserve">Źródło: Handbook on the External Costs of Transport, EC (January 2019), dołączony plik "FINAL_Complete overview of country data.xlsx", zakładka "AP_output"; koszty średnie dla UE-28 zawiera też "Handbook...", Table 16 - Total and average air pollution costs for land-based modes for the EU28 </t>
  </si>
  <si>
    <t xml:space="preserve">Liczba, średni przebieg roczny oraz praca eksploatacyjna samochodów ciężarowych lekkich w Polsce w 2015 r. </t>
  </si>
  <si>
    <t xml:space="preserve">Źródło: „Opracowanie metodyki i oszacowanie kosztów zewnętrznych emisji zanieczyszczeń do powietrza atmosferycznego ze środków transportu drogowego na poziomie kraju”, GUS, 2018 (data publikacji: 26.02.2019), załącznik do źródłowego opracowania, plik „Załącznik nr 2 Tablice wynikowe.xlsx” </t>
  </si>
  <si>
    <t xml:space="preserve">Średni przebieg roczny i praca eksploatacyjna w tej tabeli zostały przeliczone przez CUPT na podstawie danych z opracowania źródłowego. </t>
  </si>
  <si>
    <t>Pojazdy drogowe elektryczne i hybrydowe-elektryczne</t>
  </si>
  <si>
    <t xml:space="preserve">Przyjęto uproszczenie, że udziały pojazdów spalinowych używających benzyny i oleju napędowego będą stałe w całym okresie projekcji. Według przeprowadzonych obliczeń, wpływ zmian prognozowanej struktury floty pojazdów spalinowych na emisyjność jest nieznaczny. </t>
  </si>
  <si>
    <t>LV spalinowy, teren płaski, drogi miejskie inne niż A i S, nawierzchnia nowa</t>
  </si>
  <si>
    <t>LV elektryczny, teren płaski, drogi miejskie inne niż A i S, nawierzchnia nowa</t>
  </si>
  <si>
    <t>HGV spalinowy, teren płaski, drogi miejskie inne niż A i S, nawierzchnia nowa</t>
  </si>
  <si>
    <t>Drogi szybkiego ruchu (A, S)</t>
  </si>
  <si>
    <t>Drogi miejskie inne niż A, S</t>
  </si>
  <si>
    <t>Drogi zamiejskie inne niż A, S</t>
  </si>
  <si>
    <t xml:space="preserve">Wpływ nachylenia drogi na emisje zanieczyszczeń powietrza przez pojazdy drogowe przyjęto (jako uproszczenie) na takim samym poziomie, jak wpływ na zużycie paliwa. </t>
  </si>
  <si>
    <r>
      <rPr>
        <u/>
        <sz val="11"/>
        <color theme="1"/>
        <rFont val="Calibri"/>
        <family val="2"/>
        <charset val="238"/>
        <scheme val="minor"/>
      </rPr>
      <t>UWAGA</t>
    </r>
    <r>
      <rPr>
        <sz val="11"/>
        <color theme="1"/>
        <rFont val="Calibri"/>
        <family val="2"/>
        <charset val="238"/>
        <scheme val="minor"/>
      </rPr>
      <t xml:space="preserve">, poniższa przykładowa tabela oparta jest na odwołaniach do określonych wartości w przykładowej tabeli w wierszach 135, 136 i 137. W związku z tym w przypadku zmiany w tamtych wierszach (np. zmiany rodzaju drogi, terenu na falisty, nawierzchni na zdegradowaną), wartości przedstawione w poniższej tabeli przykładowej nie będą zgodne z opisami. </t>
    </r>
  </si>
  <si>
    <t>LV ogółem, teren płaski, drogi miejskie inne niż A i S, nawierzchnia nowa, wszystkie przedziały prędkości</t>
  </si>
  <si>
    <t>HGV ogółem, teren płaski, drogi miejskie inne niż A i S, nawierzchnia nowa, wszystkie przedziały prędkości</t>
  </si>
  <si>
    <t>(*) Obszar metropolitalny: miasto lub aglomeracja o liczbie mieszkańców przekraczającej 0,5 miliona (definicja według Handbook on the External Costs of Transport, EC, January 2019)</t>
  </si>
  <si>
    <t xml:space="preserve">Źródło: Handbook on the External Costs of Transport, EC (January 2019), dołączony plik "FINAL_Complete overview of country data.xlsx", zakładka "AP_output"; koszty średnie dla UE-28 zawiera też "Handbook...", Table 16 - Total and average air pollution costs for land-based modes for the EU28) </t>
  </si>
  <si>
    <r>
      <t xml:space="preserve">Poniższe stawki kosztów </t>
    </r>
    <r>
      <rPr>
        <u/>
        <sz val="11"/>
        <color theme="1"/>
        <rFont val="Calibri"/>
        <family val="2"/>
        <charset val="238"/>
        <scheme val="minor"/>
      </rPr>
      <t>mogą być stosowane tylko dla</t>
    </r>
    <r>
      <rPr>
        <sz val="11"/>
        <color theme="1"/>
        <rFont val="Calibri"/>
        <family val="2"/>
        <charset val="238"/>
        <scheme val="minor"/>
      </rPr>
      <t xml:space="preserve"> wyceny redukcji emisji niezwiązanej ze zmianą wolumenu transportu (zmniejszeniem liczby pojazdów, zmianą ich prędkości lub typu nawierzchni) na podstawie specyfikacji technicznej taboru. </t>
    </r>
  </si>
  <si>
    <t>Table 14 – Air pollution costs: average damage cost in €/kg emission, national averages for transport emissions in 2016 (excl. maritime) (All effects: health effects, crop loss, biodiversity loss, material damage)</t>
  </si>
  <si>
    <r>
      <t>(**) PM</t>
    </r>
    <r>
      <rPr>
        <vertAlign val="subscript"/>
        <sz val="11"/>
        <color theme="1"/>
        <rFont val="Calibri"/>
        <family val="2"/>
        <charset val="238"/>
        <scheme val="minor"/>
      </rPr>
      <t>10</t>
    </r>
    <r>
      <rPr>
        <sz val="11"/>
        <color theme="1"/>
        <rFont val="Calibri"/>
        <family val="2"/>
        <charset val="238"/>
        <scheme val="minor"/>
      </rPr>
      <t xml:space="preserve"> cost factors can be used for the non-exhaust emission of particles PM, e.g. from brake and tyre abrasion. </t>
    </r>
  </si>
  <si>
    <t xml:space="preserve">(*) Rural area: outside cities; metropolitan area: cities/agglomeration with more than 0.5 million inhabitants. </t>
  </si>
  <si>
    <r>
      <t>ECT Handbook 2019, pkt 4.3.2, str. 47: "</t>
    </r>
    <r>
      <rPr>
        <i/>
        <sz val="11"/>
        <color theme="1"/>
        <rFont val="Calibri"/>
        <family val="2"/>
        <charset val="238"/>
        <scheme val="minor"/>
      </rPr>
      <t>For all data, 2016 was taken as the reference year (transport data and emission factors), also for COPERT.</t>
    </r>
    <r>
      <rPr>
        <sz val="11"/>
        <color theme="1"/>
        <rFont val="Calibri"/>
        <family val="2"/>
        <charset val="238"/>
        <scheme val="minor"/>
      </rPr>
      <t xml:space="preserve">" </t>
    </r>
  </si>
  <si>
    <r>
      <t>ECT Handbook 2019, pkt 4.4, str. 51: "</t>
    </r>
    <r>
      <rPr>
        <i/>
        <sz val="11"/>
        <color theme="1"/>
        <rFont val="Calibri"/>
        <family val="2"/>
        <charset val="238"/>
        <scheme val="minor"/>
      </rPr>
      <t>For air pollution costs, the marginal costs are virtually the same as the average costs. This is mainly because the dose-response relationships between the immissions of air pollutants and health effects (or other damages) are nearly linear according to epidemiological studies.</t>
    </r>
    <r>
      <rPr>
        <sz val="11"/>
        <color theme="1"/>
        <rFont val="Calibri"/>
        <family val="2"/>
        <charset val="238"/>
        <scheme val="minor"/>
      </rPr>
      <t xml:space="preserve">" </t>
    </r>
  </si>
  <si>
    <t>(*) Obszar metropolitalny: miasto lub aglomeracja o liczbie mieszkańców przekraczającej 0,5 miliona (definicja według Handbook on the External Costs of Transport, EC, January 2019)</t>
  </si>
  <si>
    <r>
      <t>PM</t>
    </r>
    <r>
      <rPr>
        <vertAlign val="subscript"/>
        <sz val="11"/>
        <color theme="1"/>
        <rFont val="Calibri"/>
        <family val="2"/>
        <charset val="238"/>
        <scheme val="minor"/>
      </rPr>
      <t>2.5</t>
    </r>
    <r>
      <rPr>
        <sz val="11"/>
        <color theme="1"/>
        <rFont val="Calibri"/>
        <family val="2"/>
        <charset val="238"/>
        <scheme val="minor"/>
      </rPr>
      <t xml:space="preserve"> dotyczy emisji pyłów w spalinach (PM exhaust). </t>
    </r>
  </si>
  <si>
    <r>
      <t>PM</t>
    </r>
    <r>
      <rPr>
        <vertAlign val="subscript"/>
        <sz val="11"/>
        <color theme="1"/>
        <rFont val="Calibri"/>
        <family val="2"/>
        <charset val="238"/>
        <scheme val="minor"/>
      </rPr>
      <t>10</t>
    </r>
    <r>
      <rPr>
        <sz val="11"/>
        <color theme="1"/>
        <rFont val="Calibri"/>
        <family val="2"/>
        <charset val="238"/>
        <scheme val="minor"/>
      </rPr>
      <t xml:space="preserve"> dotyczy emisji pyłów innych niż w spalinach (PM non-exhaust), np. ze ścierania hamulców i opon. </t>
    </r>
  </si>
  <si>
    <t>Średnie koszty zanieczyszczeń powietrza przez transport lądowy [2016 €/kg emisji]</t>
  </si>
  <si>
    <r>
      <t xml:space="preserve">Table 15 – Air pollution costs: average damage cost in €/kg emission, national averages for </t>
    </r>
    <r>
      <rPr>
        <u/>
        <sz val="11"/>
        <color theme="1"/>
        <rFont val="Calibri"/>
        <family val="2"/>
        <charset val="238"/>
        <scheme val="minor"/>
      </rPr>
      <t>maritime</t>
    </r>
    <r>
      <rPr>
        <sz val="11"/>
        <color theme="1"/>
        <rFont val="Calibri"/>
        <family val="2"/>
        <charset val="238"/>
        <scheme val="minor"/>
      </rPr>
      <t xml:space="preserve"> emissions in 2016 (all effects: health effects, crop loss, biodiversity loss, material damage) </t>
    </r>
  </si>
  <si>
    <t>Atlantic</t>
  </si>
  <si>
    <t>Baltic</t>
  </si>
  <si>
    <t>Black Sea</t>
  </si>
  <si>
    <t>Mediterranean</t>
  </si>
  <si>
    <t>North Sea</t>
  </si>
  <si>
    <t xml:space="preserve">Odpowiednie wartości jednostkowe (€/tona emisji), jednak bez NH3, oprócz wskazanej tabeli w opracowaniu źródłowym, zawiera też dołączony do opracowania źródłowego plik "FINAL_Complete overview of country data.xlsx", zakładka "AP_input". </t>
  </si>
  <si>
    <t>Krańcowe koszty jednostkowe zanieczyszczenia powietrza PLN/ poj-km, wartości realne dla roku 2016, do dalszej indeksacji</t>
  </si>
  <si>
    <t>Sam. ciężarowe, DMC 3,5 - 7,5 t</t>
  </si>
  <si>
    <t>Sam. ciężarowe, DMC 7,5 - 16 t</t>
  </si>
  <si>
    <t>Sam. ciężarowe, DMC 16 - 32 t</t>
  </si>
  <si>
    <t>Sam. ciężarowe, DMC &gt; 32 t</t>
  </si>
  <si>
    <t>Autobusy i Autokary</t>
  </si>
  <si>
    <t xml:space="preserve">Źródło: Handbook on the External Costs of Transport, EC (January 2019), plik "FINAL_Complete overview of country data.xlsx", zakładka "Noise_output" (porówn. "Handbook…", Table 35 - Total and average noise costs for land-based modes for the EU28) </t>
  </si>
  <si>
    <r>
      <t>Uwzględniono koszty jednostkowe średnie (nie krańcowe). Koszty krańcowe są dostępne w opracowaniu źródłowym tylko w ujęciu bardziej zdezagregowanym i tylko dla UE-28 a nie dla poszczególnych krajów (pkt 6.4 Marginal noise costs). Cyt. ECT Handbook 2019, str. 82: "</t>
    </r>
    <r>
      <rPr>
        <i/>
        <sz val="11"/>
        <color theme="1"/>
        <rFont val="Calibri"/>
        <family val="2"/>
        <charset val="238"/>
        <scheme val="minor"/>
      </rPr>
      <t>Marginal noise costs differ from average noise costs for several reasons, but mainly because local factors influence the noise level and the damage and annoyance level. There are three main cost drivers for marginal noise costs: Population density (...), Existing noise levels (depending on traffic volume, traffic mix and speed) (...), Time of the day (...)</t>
    </r>
    <r>
      <rPr>
        <sz val="11"/>
        <color theme="1"/>
        <rFont val="Calibri"/>
        <family val="2"/>
        <charset val="238"/>
        <scheme val="minor"/>
      </rPr>
      <t xml:space="preserve">" </t>
    </r>
  </si>
  <si>
    <t xml:space="preserve">Gdzie jednostkowe stawki kosztów na pojazdokilometr były określone dla dwóch lub więcej kategorii pojazdów, przy agregacji zastosowano średnią ważoną udziałami w pracy eksploatacyjnej poj-km według własnych założeń lub, gdzie to było możliwe, najnowszych dostępnych danych polskich tj. za rok 2015. </t>
  </si>
  <si>
    <t>samochody ciężarowe, DMC 3,5 - 7,5 t</t>
  </si>
  <si>
    <t>samochody ciężarowe, DMC 7,5 - 16 t</t>
  </si>
  <si>
    <t>samochody ciężarowe, DMC 16 - 32 t</t>
  </si>
  <si>
    <t>samochody ciężarowe, DMC &gt; 32 t</t>
  </si>
  <si>
    <t>Autobusy miejskie i Autokary</t>
  </si>
  <si>
    <t xml:space="preserve">W ten sposób uśredniono: [1] stawki dla samochodów ciężarowych w 4 przedziałach (dot. dopuszczalnej masy całkowitej DMC), [2] stawki dla pojazdów „Bus” i „Coach”, tzn. "Autobusy miejskie" i "Autokary". </t>
  </si>
  <si>
    <t>Źródło: założenia własne i obliczenia własne na podstawie „Opracowanie metodyki i oszacowanie kosztów zewnętrznych emisji zanieczyszczeń do powietrza atmosferycznego ze środków transportu drogowego na poziomie kraju”, GUS, 2018 (data publikacji: 26.02.2019), załącznik do źródłowego opracowania, plik „Załącznik nr 2 Tablice wynikowe.xlsx”</t>
  </si>
  <si>
    <t xml:space="preserve">(*) Na potrzeby określenia jednostkowych kosztów hałasu pominięto udział autobusów miejskich wynikający z danych krajowych (wykorzystanych w COPERT IV) o ich pracy eksploatacyjnej [poj-km]. Ponieważ uciążliwość hałasu jest odczuwana głównie na terenach gęsto zamieszkałych (tj. miejskich), przyjęto arbitralnie określony większościowy udział autobusów miejskich. Na innych obszarach autobusy miejskie nie występują w ruchu lub ich udział jest niewielki, więc tam uśredniona stawka dla autobusów nie będzie stosowana lub jej wpływ na wyniki analizy będzie nieznaczny. </t>
  </si>
  <si>
    <t xml:space="preserve">Liczba, średni przebieg roczny oraz praca eksploatacyjna samochodów ciężarowych w Polsce w 2015 r. </t>
  </si>
  <si>
    <t>DMC 3,5 - 7,5 t</t>
  </si>
  <si>
    <t>DMC 7,5 - 14 t</t>
  </si>
  <si>
    <t>DMC 14 - 32 t (34 t przegubowe)</t>
  </si>
  <si>
    <t>DMC &gt; 32 t (34 t przegubowe)</t>
  </si>
  <si>
    <t xml:space="preserve">Źródło: „Opracowanie metodyki i oszacowanie kosztów zewnętrznych emisji zanieczyszczeń do powietrza atmosferycznego ze środków transportu drogowego na poziomie kraju”, GUS, 2018 (data publikacji: 26.02.2019), dołączony plik „Załącznik nr 2 Tablice wynikowe.xlsx” </t>
  </si>
  <si>
    <t xml:space="preserve">Średni przebieg roczny i praca eksploatacyjna w tej tabeli zostały przeliczone lub obliczone przez CUPT na podstawie danych z opracowania źródłowego. </t>
  </si>
  <si>
    <t xml:space="preserve">Źródło: obliczenia własne na podstawie Handbook on the External Costs of Transport, EC (January 2019), plik "FINAL_marginal_costs_air-poll_climate_WTT_noise.xlsx", zakładka "noise_all" </t>
  </si>
  <si>
    <t>Autobusy i Autokary 
(wyszczególnienie poniżej)</t>
  </si>
  <si>
    <t>Samochody ciężarowe, 
DMC 3,5 - 7,5 t</t>
  </si>
  <si>
    <t>Samochody ciężarowe, 
DMC 7,5 - 16 t</t>
  </si>
  <si>
    <t>Samochody ciężarowe, 
DMC 16 - 32 t</t>
  </si>
  <si>
    <t>Samochody ciężarowe, 
DMC &gt; 32 t</t>
  </si>
  <si>
    <t>Autobusy i Autokary, wyszczególnienie</t>
  </si>
  <si>
    <t xml:space="preserve">(*) Obszar metropolitalny: miasto lub aglomeracja o liczbie mieszkańców przekraczającej 0,5 miliona (definicja według Handbook on the External Costs of Transport, EC, January 2019). </t>
  </si>
  <si>
    <t>Średnia proporcja ruchu w porach dnia</t>
  </si>
  <si>
    <t>Średni udział ruchu w dzień</t>
  </si>
  <si>
    <t>Średni udział ruchu w nocy</t>
  </si>
  <si>
    <t xml:space="preserve">Źródło: NK drogowa 2015, str. 130 </t>
  </si>
  <si>
    <t xml:space="preserve">"Ponieważ powyższe wartości dotyczą okresów dnia i nocy, proponuje się, aby do obliczeń stosować średnią ważoną kosztów jednostkowych w formule: 15% noc i 85% dzień (zakłada ona 8 -godzinny okres nocny – tak jak to zdefiniowano w dyrektywie UE dotyczącej hałasu; również według GPR 2010 średnio 15% ruchu odbywa się w nocy). w przypadku posiadania bardziej szczegółowych danych odnośnie godzinowego podziału ruchu dla konkretnego projektu należy je wykorzystać." </t>
  </si>
  <si>
    <t xml:space="preserve">(*) Obszar metropolitalny: miasto lub aglomeracja o liczbie mieszkańców przekraczającej 0,5 miliona (definicja według Handbook on the External Costs of Transport, EC, January 2019) </t>
  </si>
  <si>
    <t xml:space="preserve">II METODA – koszty średnie na osobę </t>
  </si>
  <si>
    <r>
      <t xml:space="preserve">Koszt średni na osobę, na którą znacząco oddziałuje hałas </t>
    </r>
    <r>
      <rPr>
        <b/>
        <u/>
        <sz val="11"/>
        <color theme="1"/>
        <rFont val="Calibri"/>
        <family val="2"/>
        <charset val="238"/>
        <scheme val="minor"/>
      </rPr>
      <t>drogowy</t>
    </r>
    <r>
      <rPr>
        <b/>
        <sz val="11"/>
        <color theme="1"/>
        <rFont val="Calibri"/>
        <family val="2"/>
        <charset val="238"/>
        <scheme val="minor"/>
      </rPr>
      <t>, EUR w 2016 roku</t>
    </r>
  </si>
  <si>
    <r>
      <t xml:space="preserve">Koszt średni na osobę, na którą znacząco oddziałuje hałas </t>
    </r>
    <r>
      <rPr>
        <b/>
        <u/>
        <sz val="11"/>
        <color theme="1"/>
        <rFont val="Calibri"/>
        <family val="2"/>
        <charset val="238"/>
        <scheme val="minor"/>
      </rPr>
      <t>kolejowy</t>
    </r>
    <r>
      <rPr>
        <b/>
        <sz val="11"/>
        <color theme="1"/>
        <rFont val="Calibri"/>
        <family val="2"/>
        <charset val="238"/>
        <scheme val="minor"/>
      </rPr>
      <t>, EUR w 2016 roku</t>
    </r>
  </si>
  <si>
    <t>Różnica kosztu jednostkowego hałasu kolejowego względem drogowego dla Polski</t>
  </si>
  <si>
    <t>Koszty jednostkowe wypadków drogowych ogółem w roku 2018; wartości PLN 2018 dla Polski, do indeksacji</t>
  </si>
  <si>
    <t>Jednostkowy koszt ofiary śmiertelnej (wypadku z ofiarą śmiertelną)</t>
  </si>
  <si>
    <t>Jednostkowy koszt ofiary ciężko rannej (wypadku z ofiarami ciężko rannymi)</t>
  </si>
  <si>
    <t>Jednostkowy koszt ofiary lekko rannej (wypadku z ofiarami lekko rannymi)</t>
  </si>
  <si>
    <t>Jednostkowy koszt strat materialnych w wypadku (*)</t>
  </si>
  <si>
    <t>Jednostkowy koszt wypadku drogowego (**)</t>
  </si>
  <si>
    <r>
      <t xml:space="preserve">Powyższa tabela przedstawia </t>
    </r>
    <r>
      <rPr>
        <u/>
        <sz val="11"/>
        <rFont val="Calibri"/>
        <family val="2"/>
        <charset val="238"/>
        <scheme val="minor"/>
      </rPr>
      <t>koszty jednostkowe średnie</t>
    </r>
    <r>
      <rPr>
        <sz val="11"/>
        <rFont val="Calibri"/>
        <family val="2"/>
        <charset val="238"/>
        <scheme val="minor"/>
      </rPr>
      <t xml:space="preserve"> (nie krańcowe). Jest to zgodne z dotychczasowym podejściem w NK 2015 oraz uzasadnieniem przedstawionym w Handbook on the External Costs of Transport, EC (January 2019), pkt 3.4 Marginal accident costs, str. 39. </t>
    </r>
  </si>
  <si>
    <t>(*) Straty materialne odnoszą się tylko do straty wartości pojazdu drogowego. Z uwagi na brak ewidencjonowania strat w postaci zniszczeń infrastruktury drogowej i innej, dokładna wycena kosztów ich odtworzenia jest niemożliwa. W zakresie kosztów zniszczeń pojazdów, statystyki policyjne dysponują dokładnymi danymi w zakresie wypadków drogowych odnoszącymi się do liczby i rodzaju pojazdu oraz rodzaju zdarzenia, w którym uczestniczyły.</t>
  </si>
  <si>
    <r>
      <t xml:space="preserve">(**) Jednostkowy koszt wypadku drogowego nie jest sumą wartości powyższych </t>
    </r>
    <r>
      <rPr>
        <sz val="11"/>
        <rFont val="Calibri"/>
        <family val="2"/>
        <charset val="238"/>
      </rPr>
      <t>–</t>
    </r>
    <r>
      <rPr>
        <sz val="11"/>
        <rFont val="Calibri"/>
        <family val="2"/>
        <charset val="238"/>
        <scheme val="minor"/>
      </rPr>
      <t xml:space="preserve"> oznacza to, że jednostkowy koszt wypadku uwzględnia dotkliwość wypadków (statystycznie na 1 wypadek drogowy przypada różna liczba zabitych, ciężko rannych i lekko rannych). </t>
    </r>
  </si>
  <si>
    <t xml:space="preserve">Źródło: "Wycena kosztów wypadków i kolizji drogowych na sieci dróg w Polsce na koniec roku 2018, z wyodrębnieniem średnich kosztów społeczno-ekonomicznych wypadków na transeuropejskiej sieci transportowej", Krajowa Rada Bezpieczeństwa Ruchu Drogowego, grudzień 2019, Tabela 6.2, str. 36 </t>
  </si>
  <si>
    <t>Skutki zdarzeń drogowych (*)</t>
  </si>
  <si>
    <t xml:space="preserve">(*) Zdarzenia drogowe obejmują dwie kategorie: Wypadki i Kolizje. Wypadek drogowy to zdarzenie drogowe, w wyniku którego była osoba zabita lub ranna. Kolizja drogowa to zdarzenie drogowe, w którym powstały wyłącznie straty materialne. </t>
  </si>
  <si>
    <t xml:space="preserve">Źródło: "Stan bezpieczeństwa ruchu drogowego oraz działania realizowane w tym zakresie w 2019 r.", Krajowa Rada Bezpieczeństwa Ruchu Drogowego, sierpień 2020, na podstawie danych SEWIK wg stanu na dzień 16 lutego 2020 r., str. 41-42 </t>
  </si>
  <si>
    <t>Proporcje liczby ofiar ciężko rannych i lekko rannych w wypadkach drogowych</t>
  </si>
  <si>
    <t>Straty materialne (*)</t>
  </si>
  <si>
    <t xml:space="preserve">(*) Straty materialne odnoszą się tylko do straty wartości pojazdu drogowego. </t>
  </si>
  <si>
    <t xml:space="preserve">Wyżej wymienione koszty jednostkowe zdarzeń drogowych są właściwe dla sieci TEN-T. </t>
  </si>
  <si>
    <r>
      <t xml:space="preserve">Emisje z wytwarzania energii i paliw </t>
    </r>
    <r>
      <rPr>
        <sz val="9"/>
        <color theme="1"/>
        <rFont val="Calibri"/>
        <family val="2"/>
        <charset val="238"/>
        <scheme val="minor"/>
      </rPr>
      <t>(emisje WTT)</t>
    </r>
  </si>
  <si>
    <t xml:space="preserve">(*) Wartości średnie dla 33 portów lotniczych UE. </t>
  </si>
  <si>
    <t xml:space="preserve">Źródło: Handbook on the External Costs of Transport, EC (January 2019), dołączony plik "FINAL_Complete overview of country data.xlsx". Oprócz transportu lotniczego, zamiast wartości dla UE-28 wyszukane zostały odpowiednie wartości dla Polski (o ile takie istniały). </t>
  </si>
  <si>
    <t xml:space="preserve">Źródło: porównanie spalania paliwa statków morskich i rzecznych, Vademecum Beneficjenta, CUPT 2016 </t>
  </si>
  <si>
    <r>
      <t>Zmiany kosztu jednostkowego emisji CO</t>
    </r>
    <r>
      <rPr>
        <vertAlign val="subscript"/>
        <sz val="11"/>
        <color theme="1"/>
        <rFont val="Calibri"/>
        <family val="2"/>
        <charset val="238"/>
        <scheme val="minor"/>
      </rPr>
      <t>2</t>
    </r>
    <r>
      <rPr>
        <sz val="11"/>
        <color theme="1"/>
        <rFont val="Calibri"/>
        <family val="2"/>
        <charset val="238"/>
        <scheme val="minor"/>
      </rPr>
      <t xml:space="preserve"> względem poziomu wyjściowego z roku 2016</t>
    </r>
  </si>
  <si>
    <r>
      <t>Zmiany wskaźnika emisji CO</t>
    </r>
    <r>
      <rPr>
        <vertAlign val="subscript"/>
        <sz val="11"/>
        <color theme="1"/>
        <rFont val="Calibri"/>
        <family val="2"/>
        <charset val="238"/>
        <scheme val="minor"/>
      </rPr>
      <t>2</t>
    </r>
    <r>
      <rPr>
        <sz val="11"/>
        <color theme="1"/>
        <rFont val="Calibri"/>
        <family val="2"/>
        <charset val="238"/>
        <scheme val="minor"/>
      </rPr>
      <t xml:space="preserve"> względem poziomu wyjściowego z roku 2019</t>
    </r>
  </si>
  <si>
    <r>
      <t xml:space="preserve">Emisje z wytwarzania energii i paliw </t>
    </r>
    <r>
      <rPr>
        <sz val="9"/>
        <color theme="1"/>
        <rFont val="Calibri"/>
        <family val="2"/>
        <charset val="238"/>
        <scheme val="minor"/>
      </rPr>
      <t>(emisje WTT)</t>
    </r>
  </si>
  <si>
    <t>Udział emisji WTT w całości</t>
  </si>
  <si>
    <t xml:space="preserve">Powyższa tabela nie uwzględnia zmian struktury floty pojazdów drogowych pod względem rodzaju paliwa (napęd spalinowy, elektryczny). Jednostkowe stawki kosztów prawdopodobnie dotyczą tylko samochodów spalinowych. </t>
  </si>
  <si>
    <t xml:space="preserve">W powyższej tabeli w odniesieniu do wszystkich pozycji oprócz kosztów zmian klimatu zastosowana jest indeksacja skumulowanym wskaźnikiem uwzględniającym 0,8 wzrostu PKB per capita oraz inflację CPI dla Polski (od 2016) na początek roku bazowego analizy. </t>
  </si>
  <si>
    <t xml:space="preserve">W kolejnych latach po roku bazowym, w odniesieniu do wszystkich pozycji oprócz kosztów zmian klimatu, należy zastosować indeksację wskaźnikiem uwzględniającym 0,8 wzrostu PKB per capita (Elastyczność Y), bez inflacji, wskaźniki rok-do-roku: </t>
  </si>
  <si>
    <r>
      <t>W kolejnych latach po roku bazowym, w odniesieniu do kosztów zmiany klimatu należy uwzględnić korektę cenową CO</t>
    </r>
    <r>
      <rPr>
        <vertAlign val="subscript"/>
        <sz val="11"/>
        <color theme="1"/>
        <rFont val="Calibri"/>
        <family val="2"/>
        <charset val="238"/>
        <scheme val="minor"/>
      </rPr>
      <t>2</t>
    </r>
    <r>
      <rPr>
        <sz val="11"/>
        <color theme="1"/>
        <rFont val="Calibri"/>
        <family val="2"/>
        <charset val="238"/>
        <scheme val="minor"/>
      </rPr>
      <t xml:space="preserve"> (w powyższej tabeli jest ona uwzględniona na początek roku bazowego): </t>
    </r>
  </si>
  <si>
    <r>
      <t>Dodatkowo, w kolejnych latach po roku bazowym, w odniesieniu do kosztów zmian klimatu, dla elektrycznych pociągów pasażerskich i towarowych należy uwzględnić spadek wskaźnika emisji CO</t>
    </r>
    <r>
      <rPr>
        <vertAlign val="subscript"/>
        <sz val="11"/>
        <color theme="1"/>
        <rFont val="Calibri"/>
        <family val="2"/>
        <charset val="238"/>
        <scheme val="minor"/>
      </rPr>
      <t>2</t>
    </r>
    <r>
      <rPr>
        <sz val="11"/>
        <color theme="1"/>
        <rFont val="Calibri"/>
        <family val="2"/>
        <charset val="238"/>
        <scheme val="minor"/>
      </rPr>
      <t xml:space="preserve"> sieciowej energii elektrycznej (w powyższej tabeli jest on uwzględniony na początek roku bazowego): </t>
    </r>
  </si>
  <si>
    <t xml:space="preserve">Jednostkowe koszty zmian klimatu dla elektrycznych pociągów pasażerskich i towarowych są zerowe. </t>
  </si>
  <si>
    <t xml:space="preserve">Ekonomiczne koszty zewnętrzne związane z wytwarzaniem energii elektrycznej do napędzania pojazdów, w tym m.in. wpływ na zmiany klimatyczne i emisje zanieczyszczeń powietrza, jest ujęty w osobnej pozycji "Emisje z wytwarzania energii i paliw (emisje WTT)". </t>
  </si>
  <si>
    <t xml:space="preserve">Pozycja "Emisje z wytwarzania energii i paliw (emisje WTT)" zgodnie z nazwą obejmuje efekty zewnętrzne nie tylko z wytwarzania energii elektrycznej, ale również z wydobycia, przetwórstwa i dystrybucji paliw. </t>
  </si>
  <si>
    <t xml:space="preserve">Jest to podejście inne niż na poprzednich zakładkach dotyczących poszczególnych efektów ekonomicznych. Nie można więc łączyć w jednej analizie ani stosować wymiennie stawek z tej zakładki i z pozostałych zakładek. </t>
  </si>
  <si>
    <t>(koszty jednostkowe dotyczące dróg krajowych, w tym również klasy A i S, o nawierzchni asfaltowej i betonowej)</t>
  </si>
  <si>
    <t xml:space="preserve">Zakłada się brak realnego wzrostu jednostkowych kosztów utrzymania infrastruktury drogowej w czasie. Ewentualny wzrost z tytułu kosztów pracy oraz kosztów energii będzie rekompensowany wzrostem wydajności (np. z tytułu stosowania nowych technologii). Dlatego należy uwzględnić tylko indeksację nominalną do roku bazowego wskaźnikiem inflacji cen produkcji budowlano-montażowej. </t>
  </si>
  <si>
    <t>Klasa i przekrój drogi</t>
  </si>
  <si>
    <t>A, S 2x2</t>
  </si>
  <si>
    <t>S 2+1</t>
  </si>
  <si>
    <t>S 1x2</t>
  </si>
  <si>
    <t>GP 2x2</t>
  </si>
  <si>
    <t>GP 1x2</t>
  </si>
  <si>
    <t>Źródło: opracowanie własne na podstawie danych z przetargów GDDKiA “Utrzymaj standard” 2013, Niebieska Księga, Infrastruktura drogowa, lipiec 2015, Załącznik A, pkt 9 (str. 131)</t>
  </si>
  <si>
    <t xml:space="preserve">- Elektroniczny System Poboru Opłat – viaTOLL – funkcjonujący do końca września 2021 r., </t>
  </si>
  <si>
    <t xml:space="preserve">- System Poboru Opłaty Elektronicznej KAS – e-TOLL – system w trakcie budowy, funkcjonujący od 24 czerwca 2021 r., </t>
  </si>
  <si>
    <t xml:space="preserve">Według stanu w II połowie 2021 roku, systemy poboru opłat za przejazd drogami publicznymi zarządzanymi przez GDDKiA w Polsce obejmowały: </t>
  </si>
  <si>
    <t xml:space="preserve">- Manualny System Poboru Opłat – system poboru opłaty za przejazd autostradą, dotyczy odcinków A2 i A4 zarządzanych przez GDDKiA, dostępny dla tzw. pojazdów lekkich (o dopuszczalnej masie całkowitej ≤ 3,5 tony), funkcjonujący do dnia 30 listopada 2021 r. </t>
  </si>
  <si>
    <t xml:space="preserve">Źródło: Ministerstwo Finansów – Krajowa Administracja Skarbowa, na podstawie planu finansowego Krajowego Funduszu Drogowego (KFD). </t>
  </si>
  <si>
    <t>Kwota kosztów przeliczona na 
12 miesięcy, poziom cenowy 2021</t>
  </si>
  <si>
    <t>Koszty związane z eksploatacją Elektronicznego Systemu Poboru Opłat (łącznie viaTOLL oraz e-TOLL), wartości PLN netto 2021 dla Polski, do indeksacji</t>
  </si>
  <si>
    <r>
      <t>Emisje CO</t>
    </r>
    <r>
      <rPr>
        <b/>
        <vertAlign val="subscript"/>
        <sz val="16"/>
        <rFont val="Calibri"/>
        <family val="2"/>
        <charset val="238"/>
        <scheme val="minor"/>
      </rPr>
      <t>2</t>
    </r>
    <r>
      <rPr>
        <b/>
        <sz val="16"/>
        <rFont val="Calibri"/>
        <family val="2"/>
        <charset val="238"/>
        <scheme val="minor"/>
      </rPr>
      <t xml:space="preserve"> i zanieczyszczeń powietrza przez autobusy komunikacji miejskiej</t>
    </r>
  </si>
  <si>
    <t>Dyrektywa 91/542/EEC, nowy tekst Załącznika I pkt 6.2.1 wiersz B</t>
  </si>
  <si>
    <t>Dyrektywa 1999/96/WE, Załącznik I, pkt 6.2.1, wiersz A</t>
  </si>
  <si>
    <t>Dyrektywa 1999/96/WE, Załącznik I, pkt 6.2.1, wiersz B1</t>
  </si>
  <si>
    <t>Dyrektywa 1999/96/WE, Załącznik I, pkt 6.2.1, wiersz B2</t>
  </si>
  <si>
    <t>Rozporządzenie (WE) 595/2009, Załącznik I</t>
  </si>
  <si>
    <t>Council Directive 91/542/EEC of 1 October 1991 amending Directive 88/77/EEC on the approximation of the laws of the Member States relating to the measures to be taken against the emission of gaseous pollutants from diesel engines for use in vehicles, nowy tekst Załącznika I pkt 6.2.1 wiersz B</t>
  </si>
  <si>
    <t>Dyrektywa 1999/96/WE Parlamentu Europejskiego i Rady z dnia 13 grudnia 1999 r. w sprawie zbliżenia ustawodawstw Państw Członkowskich odnoszących się do działań, jakie mają zostać podjęte przeciwko emisji zanieczyszczeń gazowych i pyłowych przez silniki wysokoprężne stosowane w pojazdach oraz emisji zanieczyszczeń gazowych z silników z wymuszonym zapłonem napędzanych gazem ziemnym lub gazem płynnym stosowanych w pojazdach oraz zmieniająca dyrektywę Rady 88/77/EWG, Załącznik I, pkt 6.2.1, wiersz A</t>
  </si>
  <si>
    <t>Dyrektywa 1999/96/WE Parlamentu Europejskiego i Rady z dnia 13 grudnia 1999 r. w sprawie zbliżenia ustawodawstw Państw Członkowskich odnoszących się do działań, jakie mają zostać podjęte przeciwko emisji zanieczyszczeń gazowych i pyłowych przez silniki wysokoprężne stosowane w pojazdach oraz emisji zanieczyszczeń gazowych z silników z wymuszonym zapłonem napędzanych gazem ziemnym lub gazem płynnym stosowanych w pojazdach oraz zmieniająca dyrektywę Rady 88/77/EWG, Załącznik I, pkt 6.2.1, wiersz B1</t>
  </si>
  <si>
    <t>Dyrektywa 1999/96/WE Parlamentu Europejskiego i Rady z dnia 13 grudnia 1999 r. w sprawie zbliżenia ustawodawstw Państw Członkowskich odnoszących się do działań, jakie mają zostać podjęte przeciwko emisji zanieczyszczeń gazowych i pyłowych przez silniki wysokoprężne stosowane w pojazdach oraz emisji zanieczyszczeń gazowych z silników z wymuszonym zapłonem napędzanych gazem ziemnym lub gazem płynnym stosowanych w pojazdach oraz zmieniająca dyrektywę Rady 88/77/EWG, Załącznik I, pkt 6.2.1, wiersz B2</t>
  </si>
  <si>
    <t>Rozporządzenie Parlamentu Europejskiego i Rady (WE) Nr 595/2009 z dnia 18 czerwca 2009 r. dotyczące homologacji typu pojazdów silnikowych i silników w odniesieniu do emisji zanieczyszczeń pochodzących z pojazdów ciężarowych o dużej ładowności (Euro VI) oraz w sprawie dostępu do informacji dotyczących naprawy i obsługi technicznej pojazdów, zmieniające rozporządzenie (WE) nr 715/2007 i dyrektywę 2007/46/WE oraz uchylające dyrektywy 80/1269/EWG, 2005/55/WE i 2005/78/WE, Załącznik I</t>
  </si>
  <si>
    <t>Źródło (za wyjątkiem NMHC/NMVOC): Wskaźniki emisyjności CO2, SO2, NOx, CO i pyłu całkowitego dla energii elektrycznej na podstawie informacji zawartych w Krajowej bazie o emisjach gazów cieplarnianych i innych substancji za 2019 rok, KOBiZE, grudzień 2020, rozdział 2, strona 4, tabela "Wskaźniki emisji w [kg/MWh] dla odbiorców końcowych energii elektrycznej"</t>
  </si>
  <si>
    <t>EMEP/EEA air pollutant emission inventory guidebook, 2019, Additional Files, Part B: sectoral guidance chapters, 1.A.3.b.i-iv Road transport 2019 (update October 2020), Table 3-12: Tier 1 CO2 emission factors for different road transport fossil fuels (page 22), all vehicle types</t>
  </si>
  <si>
    <t>EMEP/EEA air pollutant emission inventory guidebook, 2019, Additional Files, Part B: sectoral guidance chapters, 1.A.3.b.i-iv Road transport 2019 (update October 2020), Table 3-28: Default calorific and density values of primary fuels (page 42)</t>
  </si>
  <si>
    <t>EIB Project Carbon Footprint Methodologies. Methodologies for the Assessment of Project GHG Emissions and Emission Variations (wersja 11.1, lipiec 2020), Default Emission Factors, str. 26. Pierwotne źródło danych wykazane w "EIB Project Carbon Footprint Methodologies": API Compendium, 2009 - Compendium of Greenhouse Gas Emissions Methodologies for the oil and natural gas industry</t>
  </si>
  <si>
    <t>Zużycie energii przez dany autobus na 100 km</t>
  </si>
  <si>
    <t>100 km</t>
  </si>
  <si>
    <t>kWh/100 km</t>
  </si>
  <si>
    <t>Wskaźniki emisyjności CO2, SO2, NOx, CO i pyłu całkowitego dla energii elektrycznej na podstawie informacji zawartych w Krajowej bazie o emisjach gazów cieplarnianych i innych substancji za 2019 rok, KOBiZE, grudzień 2020, rozdział 2, strona 4, tabela "Wskaźniki emisji w [kg/MWh] dla odbiorców końcowych energii elektrycznej"</t>
  </si>
  <si>
    <t xml:space="preserve">W kolejnych latach należy uwzględnić zmiany tego wskaźnika względem poziomu wyjściowego z roku 2019, ze względu na zmiany struktury paliwowej energetyki w Polsce: </t>
  </si>
  <si>
    <t>Zmiana wskaźnika względem 2019 r.</t>
  </si>
  <si>
    <t xml:space="preserve">Dlatego w niniejszym pliku wyjściowe koszty jednostkowe wyrażone w EUR 2016 zostały przemnożone przez dwa czynniki, w celu dostosowania ich do poziomu cenowego właściwego dla Polski: </t>
  </si>
  <si>
    <t>Autobus - LPG</t>
  </si>
  <si>
    <t>Wartość energetyczna LPG</t>
  </si>
  <si>
    <r>
      <t>W powyższej tabeli w odniesieniu do kosztów zmian klimatu uwzględniona jest indeksacja skumulowanym wskaźnikiem zmiany kosztu jednostkowego emisji CO</t>
    </r>
    <r>
      <rPr>
        <vertAlign val="subscript"/>
        <sz val="11"/>
        <color theme="1"/>
        <rFont val="Calibri"/>
        <family val="2"/>
        <charset val="238"/>
        <scheme val="minor"/>
      </rPr>
      <t>2</t>
    </r>
    <r>
      <rPr>
        <sz val="11"/>
        <color theme="1"/>
        <rFont val="Calibri"/>
        <family val="2"/>
        <charset val="238"/>
        <scheme val="minor"/>
      </rPr>
      <t xml:space="preserve"> względem poziomu wyjściowego z roku 2016 (obejmującym również skumulowaną inflację CPI dla Polski), bez wzrostu PKB per capita, na początek roku bazowego analizy. </t>
    </r>
  </si>
  <si>
    <r>
      <t>Zmiany kosztu jednostkowego emisji CO</t>
    </r>
    <r>
      <rPr>
        <vertAlign val="subscript"/>
        <sz val="11"/>
        <color theme="1"/>
        <rFont val="Calibri"/>
        <family val="2"/>
        <charset val="238"/>
        <scheme val="minor"/>
      </rPr>
      <t>2</t>
    </r>
  </si>
  <si>
    <r>
      <t>Zmiany kosztu jednostkowego emisji CO</t>
    </r>
    <r>
      <rPr>
        <vertAlign val="subscript"/>
        <sz val="11"/>
        <rFont val="Calibri"/>
        <family val="2"/>
        <charset val="238"/>
        <scheme val="minor"/>
      </rPr>
      <t>2</t>
    </r>
    <r>
      <rPr>
        <sz val="11"/>
        <rFont val="Calibri"/>
        <family val="2"/>
        <charset val="238"/>
        <scheme val="minor"/>
      </rPr>
      <t xml:space="preserve"> względem poziomu wyjściowego z roku 2016</t>
    </r>
  </si>
  <si>
    <r>
      <t>Poc. towarowe, 
krótkie kontenerowe (420</t>
    </r>
    <r>
      <rPr>
        <sz val="11"/>
        <rFont val="Calibri"/>
        <family val="2"/>
        <charset val="238"/>
      </rPr>
      <t> </t>
    </r>
    <r>
      <rPr>
        <sz val="11"/>
        <rFont val="Calibri"/>
        <family val="2"/>
        <charset val="238"/>
        <scheme val="minor"/>
      </rPr>
      <t>m), 
elektryczne</t>
    </r>
  </si>
  <si>
    <t>Poc. towarowe, 
krótkie kontenerowe (420 m), 
spalinowe (olej napędowy), EGR/SRC</t>
  </si>
  <si>
    <t>Poc. towarowe, 
krótkie kontenerowe (420 m), 
spalinowe (olej napędowy)</t>
  </si>
  <si>
    <t>Poc. towarowe, 
krótkie masowe (300 m), 
elektryczne</t>
  </si>
  <si>
    <t>Poc. towarowe, 
krótkie masowe (300 m), 
spalinowe (olej napędowy), EGR/SRC</t>
  </si>
  <si>
    <t>Poc. towarowe, 
krótkie masowe (300 m), 
spalinowe (olej napędowy)</t>
  </si>
  <si>
    <t>Poc. towarowe, 
długie kontenerowe (620 m), 
elektryczne</t>
  </si>
  <si>
    <t>Poc. towarowe, 
długie kontenerowe (620 m), 
spalinowe (olej napędowy), EGR/SRC</t>
  </si>
  <si>
    <t>Poc. towarowe, 
długie kontenerowe (620 m), 
spalinowe (olej napędowy)</t>
  </si>
  <si>
    <t>Poc. towarowe, 
długie masowe (440 m), 
elektryczne</t>
  </si>
  <si>
    <t>Poc. towarowe, 
długie masowe (440 m), 
spalinowe (olej napędowy), EGR/SRC</t>
  </si>
  <si>
    <t>Poc. towarowe, 
długie masowe (440 m), 
spalinowe (olej napędowy)</t>
  </si>
  <si>
    <r>
      <t>Stawka jednostkowa, 
PLN /tCO</t>
    </r>
    <r>
      <rPr>
        <vertAlign val="subscript"/>
        <sz val="11"/>
        <color theme="1"/>
        <rFont val="Calibri"/>
        <family val="2"/>
        <charset val="238"/>
        <scheme val="minor"/>
      </rPr>
      <t>2</t>
    </r>
    <r>
      <rPr>
        <sz val="11"/>
        <color theme="1"/>
        <rFont val="Calibri"/>
        <family val="2"/>
        <charset val="238"/>
        <scheme val="minor"/>
      </rPr>
      <t>e indeksowane na koniec roku</t>
    </r>
  </si>
  <si>
    <t xml:space="preserve">Samochód osobowy, elektryczny (średni rozmiar), przeciętnie obszar miejski i zamiejski, teren płaski, nawierzchnia nowa </t>
  </si>
  <si>
    <t xml:space="preserve">Samochód osobowy, elektryczny (średni rozmiar), przeciętnie obszar miejski i zamiejski, teren płaski, nawierzchnia zdegradowana </t>
  </si>
  <si>
    <t xml:space="preserve">Pojazdy drogowe elektryczne i hybrydowe-elektryczne </t>
  </si>
  <si>
    <t xml:space="preserve">Samochód osobowy, elektryczny (średni rozmiar), przeciętnie obszar miejski i zamiejski, teren falisty, nawierzchnia nowa </t>
  </si>
  <si>
    <t xml:space="preserve">Samochód osobowy, elektryczny (średni rozmiar), przeciętnie obszar miejski i zamiejski, teren falisty, nawierzchnia zdegradowana </t>
  </si>
  <si>
    <t xml:space="preserve">Samochód osobowy, elektryczny (średni rozmiar), przeciętnie wszystkie warunki ruchu, teren płaski, nawierzchnia nowa </t>
  </si>
  <si>
    <t xml:space="preserve">Samochód osobowy, elektryczny (średni rozmiar), przeciętnie wszystkie warunki ruchu, teren płaski, nawierzchnia zdegradowana </t>
  </si>
  <si>
    <t xml:space="preserve">Samochód osobowy, elektryczny (średni rozmiar), przeciętnie wszystkie warunki ruchu, teren falisty, nawierzchnia nowa </t>
  </si>
  <si>
    <t xml:space="preserve">Samochód osobowy, elektryczny (średni rozmiar), przeciętnie wszystkie warunki ruchu, teren falisty, nawierzchnia zdegradowana </t>
  </si>
  <si>
    <r>
      <t>0,00</t>
    </r>
    <r>
      <rPr>
        <sz val="11"/>
        <color theme="1"/>
        <rFont val="Calibri"/>
        <family val="2"/>
        <charset val="238"/>
      </rPr>
      <t>÷</t>
    </r>
    <r>
      <rPr>
        <sz val="11"/>
        <color theme="1"/>
        <rFont val="Calibri"/>
        <family val="2"/>
        <charset val="238"/>
        <scheme val="minor"/>
      </rPr>
      <t>9,99</t>
    </r>
  </si>
  <si>
    <r>
      <t>10,00</t>
    </r>
    <r>
      <rPr>
        <sz val="11"/>
        <color theme="1"/>
        <rFont val="Calibri"/>
        <family val="2"/>
        <charset val="238"/>
      </rPr>
      <t>÷1</t>
    </r>
    <r>
      <rPr>
        <sz val="11"/>
        <color theme="1"/>
        <rFont val="Calibri"/>
        <family val="2"/>
        <charset val="238"/>
        <scheme val="minor"/>
      </rPr>
      <t>9,99</t>
    </r>
  </si>
  <si>
    <r>
      <t>20,00</t>
    </r>
    <r>
      <rPr>
        <sz val="11"/>
        <color theme="1"/>
        <rFont val="Calibri"/>
        <family val="2"/>
        <charset val="238"/>
      </rPr>
      <t>÷2</t>
    </r>
    <r>
      <rPr>
        <sz val="11"/>
        <color theme="1"/>
        <rFont val="Calibri"/>
        <family val="2"/>
        <charset val="238"/>
        <scheme val="minor"/>
      </rPr>
      <t>9,99</t>
    </r>
  </si>
  <si>
    <r>
      <t>30,00</t>
    </r>
    <r>
      <rPr>
        <sz val="11"/>
        <color theme="1"/>
        <rFont val="Calibri"/>
        <family val="2"/>
        <charset val="238"/>
      </rPr>
      <t>÷3</t>
    </r>
    <r>
      <rPr>
        <sz val="11"/>
        <color theme="1"/>
        <rFont val="Calibri"/>
        <family val="2"/>
        <charset val="238"/>
        <scheme val="minor"/>
      </rPr>
      <t>9,99</t>
    </r>
  </si>
  <si>
    <r>
      <t>40,00</t>
    </r>
    <r>
      <rPr>
        <sz val="11"/>
        <color theme="1"/>
        <rFont val="Calibri"/>
        <family val="2"/>
        <charset val="238"/>
      </rPr>
      <t>÷4</t>
    </r>
    <r>
      <rPr>
        <sz val="11"/>
        <color theme="1"/>
        <rFont val="Calibri"/>
        <family val="2"/>
        <charset val="238"/>
        <scheme val="minor"/>
      </rPr>
      <t>9,99</t>
    </r>
  </si>
  <si>
    <r>
      <t>50,00</t>
    </r>
    <r>
      <rPr>
        <sz val="11"/>
        <color theme="1"/>
        <rFont val="Calibri"/>
        <family val="2"/>
        <charset val="238"/>
      </rPr>
      <t>÷5</t>
    </r>
    <r>
      <rPr>
        <sz val="11"/>
        <color theme="1"/>
        <rFont val="Calibri"/>
        <family val="2"/>
        <charset val="238"/>
        <scheme val="minor"/>
      </rPr>
      <t>9,99</t>
    </r>
  </si>
  <si>
    <r>
      <t>60,00</t>
    </r>
    <r>
      <rPr>
        <sz val="11"/>
        <color theme="1"/>
        <rFont val="Calibri"/>
        <family val="2"/>
        <charset val="238"/>
      </rPr>
      <t>÷6</t>
    </r>
    <r>
      <rPr>
        <sz val="11"/>
        <color theme="1"/>
        <rFont val="Calibri"/>
        <family val="2"/>
        <charset val="238"/>
        <scheme val="minor"/>
      </rPr>
      <t>9,99</t>
    </r>
  </si>
  <si>
    <r>
      <t>70,00</t>
    </r>
    <r>
      <rPr>
        <sz val="11"/>
        <color theme="1"/>
        <rFont val="Calibri"/>
        <family val="2"/>
        <charset val="238"/>
      </rPr>
      <t>÷7</t>
    </r>
    <r>
      <rPr>
        <sz val="11"/>
        <color theme="1"/>
        <rFont val="Calibri"/>
        <family val="2"/>
        <charset val="238"/>
        <scheme val="minor"/>
      </rPr>
      <t>9,99</t>
    </r>
  </si>
  <si>
    <r>
      <t>80,00</t>
    </r>
    <r>
      <rPr>
        <sz val="11"/>
        <color theme="1"/>
        <rFont val="Calibri"/>
        <family val="2"/>
        <charset val="238"/>
      </rPr>
      <t>÷8</t>
    </r>
    <r>
      <rPr>
        <sz val="11"/>
        <color theme="1"/>
        <rFont val="Calibri"/>
        <family val="2"/>
        <charset val="238"/>
        <scheme val="minor"/>
      </rPr>
      <t>9,99</t>
    </r>
  </si>
  <si>
    <r>
      <t>90,00</t>
    </r>
    <r>
      <rPr>
        <sz val="11"/>
        <color theme="1"/>
        <rFont val="Calibri"/>
        <family val="2"/>
        <charset val="238"/>
      </rPr>
      <t>÷9</t>
    </r>
    <r>
      <rPr>
        <sz val="11"/>
        <color theme="1"/>
        <rFont val="Calibri"/>
        <family val="2"/>
        <charset val="238"/>
        <scheme val="minor"/>
      </rPr>
      <t>9,99</t>
    </r>
  </si>
  <si>
    <r>
      <t>100,00</t>
    </r>
    <r>
      <rPr>
        <sz val="11"/>
        <color theme="1"/>
        <rFont val="Calibri"/>
        <family val="2"/>
        <charset val="238"/>
      </rPr>
      <t>÷10</t>
    </r>
    <r>
      <rPr>
        <sz val="11"/>
        <color theme="1"/>
        <rFont val="Calibri"/>
        <family val="2"/>
        <charset val="238"/>
        <scheme val="minor"/>
      </rPr>
      <t>9,99</t>
    </r>
  </si>
  <si>
    <r>
      <t>110,00</t>
    </r>
    <r>
      <rPr>
        <sz val="11"/>
        <color theme="1"/>
        <rFont val="Calibri"/>
        <family val="2"/>
        <charset val="238"/>
      </rPr>
      <t>÷11</t>
    </r>
    <r>
      <rPr>
        <sz val="11"/>
        <color theme="1"/>
        <rFont val="Calibri"/>
        <family val="2"/>
        <charset val="238"/>
        <scheme val="minor"/>
      </rPr>
      <t>9,99</t>
    </r>
  </si>
  <si>
    <r>
      <t>120,00</t>
    </r>
    <r>
      <rPr>
        <sz val="11"/>
        <color theme="1"/>
        <rFont val="Calibri"/>
        <family val="2"/>
        <charset val="238"/>
      </rPr>
      <t>÷12</t>
    </r>
    <r>
      <rPr>
        <sz val="11"/>
        <color theme="1"/>
        <rFont val="Calibri"/>
        <family val="2"/>
        <charset val="238"/>
        <scheme val="minor"/>
      </rPr>
      <t>9,99</t>
    </r>
  </si>
  <si>
    <t>130,00÷139,99</t>
  </si>
  <si>
    <r>
      <t>Przeliczniki uciążliwości hałasu dotyczące pojazdów drogowych i</t>
    </r>
    <r>
      <rPr>
        <b/>
        <sz val="11"/>
        <color theme="1"/>
        <rFont val="Calibri"/>
        <family val="2"/>
        <charset val="238"/>
      </rPr>
      <t> </t>
    </r>
    <r>
      <rPr>
        <b/>
        <sz val="11"/>
        <color theme="1"/>
        <rFont val="Calibri"/>
        <family val="2"/>
        <charset val="238"/>
        <scheme val="minor"/>
      </rPr>
      <t xml:space="preserve">pociągów </t>
    </r>
  </si>
  <si>
    <t>poc. pasażerskie</t>
  </si>
  <si>
    <t>poc. towarowe</t>
  </si>
  <si>
    <t xml:space="preserve">Poc. towarowe spalinowe (olej napędowy), obszar miejski, średnio w dobie </t>
  </si>
  <si>
    <t xml:space="preserve">Poc. pasażerskie elektryczne, obszar zamiejski, średnio w dobie </t>
  </si>
  <si>
    <t xml:space="preserve">Poc. pasażerskie spalinowe (olej napędowy), obszar zamiejski, średnio w dobie </t>
  </si>
  <si>
    <t xml:space="preserve">Poc. towarowe elektryczne, obszar zamiejski, średnio w dobie </t>
  </si>
  <si>
    <t xml:space="preserve">Poc. towarowe spalinowe (olej napędowy), obszar zamiejski, średnio w dobie </t>
  </si>
  <si>
    <r>
      <t xml:space="preserve">Dla roku bazowego 2024 właściwe do zastosowania w analizie są wartości kosztów jednostkowych określone według poziomu cenowego </t>
    </r>
    <r>
      <rPr>
        <u/>
        <sz val="11"/>
        <color theme="1"/>
        <rFont val="Calibri"/>
        <family val="2"/>
        <charset val="238"/>
        <scheme val="minor"/>
      </rPr>
      <t>z końca roku poprzedniego</t>
    </r>
    <r>
      <rPr>
        <sz val="11"/>
        <color theme="1"/>
        <rFont val="Calibri"/>
        <family val="2"/>
        <charset val="238"/>
        <scheme val="minor"/>
      </rPr>
      <t>, tzn. 2023.</t>
    </r>
  </si>
  <si>
    <t xml:space="preserve">UWAGA: NINIEJSZY ARKUSZ ZAKŁADA 2024 JAKO ROK BAZOWY ANALIZY. INDEKSACJĘ WYKONANO WIĘC NA KONIEC 2023 R. </t>
  </si>
  <si>
    <t xml:space="preserve">Brak konieczności dodatkowego przeliczenia jeżeli rok bazowy analizy to 2024. Jeżeli rok bazowy analizy jest inny, to należy uwzględnić indeksację odpowiednią dla danej kategorii kosztów jednostkowych, zgodnie z formułami zawartymi w tym pliku. </t>
  </si>
  <si>
    <t>Dla roku 2024 właściwe do zastosowania w analizie są wartości kosztów jednostkowych określone według poziomu cenowego z końca roku poprzedniego, tzn. 2023.</t>
  </si>
  <si>
    <t xml:space="preserve">Koszt jednostkowy czasu podróży pasażerskich – kształtowanie się kosztu w latach [PLN/pas-godz] indeksacja w czasie (ceny realne od 2024 r.) </t>
  </si>
  <si>
    <t xml:space="preserve">Składnik 1: Koszt jednostkowy czasu przewozu ładunków – kształtowanie się kosztu w latach [PLN/poc-godz] indeksacja w czasie (ceny realne od 2024 r.) </t>
  </si>
  <si>
    <t xml:space="preserve">Składnik 2: Koszt jednostkowy czasu ładunków – kształtowanie się kosztu w latach [PLN/tono-godz] indeksacja w czasie (ceny realne od 2024 r.) </t>
  </si>
  <si>
    <r>
      <t xml:space="preserve">Koszty jednostkowe eksploatacji samochodów </t>
    </r>
    <r>
      <rPr>
        <b/>
        <u/>
        <sz val="11"/>
        <color theme="1"/>
        <rFont val="Calibri"/>
        <family val="2"/>
        <charset val="238"/>
        <scheme val="minor"/>
      </rPr>
      <t>spalinowych</t>
    </r>
    <r>
      <rPr>
        <b/>
        <sz val="11"/>
        <color theme="1"/>
        <rFont val="Calibri"/>
        <family val="2"/>
        <charset val="238"/>
        <scheme val="minor"/>
      </rPr>
      <t xml:space="preserve">, bez podatków i opłat – przykład kształtowania się kosztu w latach [PLN/poj-km] (ceny realne od 2024 r.) </t>
    </r>
  </si>
  <si>
    <r>
      <t xml:space="preserve">Koszty jednostkowe eksploatacji samochodów </t>
    </r>
    <r>
      <rPr>
        <b/>
        <u/>
        <sz val="11"/>
        <color theme="1"/>
        <rFont val="Calibri"/>
        <family val="2"/>
        <charset val="238"/>
        <scheme val="minor"/>
      </rPr>
      <t>elektrycznych i hybrydowych</t>
    </r>
    <r>
      <rPr>
        <b/>
        <sz val="11"/>
        <color theme="1"/>
        <rFont val="Calibri"/>
        <family val="2"/>
        <charset val="238"/>
        <scheme val="minor"/>
      </rPr>
      <t xml:space="preserve">, bez podatków i opłat – przykład kształtowania się kosztu w latach [PLN/poj-km] indeksacja w czasie (ceny realne od 2024 r.) </t>
    </r>
  </si>
  <si>
    <r>
      <t xml:space="preserve">Koszty jednostkowe eksploatacji </t>
    </r>
    <r>
      <rPr>
        <b/>
        <u/>
        <sz val="11"/>
        <color theme="1"/>
        <rFont val="Calibri"/>
        <family val="2"/>
        <charset val="238"/>
        <scheme val="minor"/>
      </rPr>
      <t>samochodów ogółem</t>
    </r>
    <r>
      <rPr>
        <b/>
        <sz val="11"/>
        <color theme="1"/>
        <rFont val="Calibri"/>
        <family val="2"/>
        <charset val="238"/>
        <scheme val="minor"/>
      </rPr>
      <t xml:space="preserve"> (dla średniej struktury floty pojazdów), bez podatków i opłat – przykład kształtowania się kosztu w latach [PLN/poj-km] indeksacja w czasie (ceny realne od 2024 r.) </t>
    </r>
  </si>
  <si>
    <t xml:space="preserve">Koszty jednostkowe eksploatacji pociągów, wyłącznie napęd – kształtowanie się kosztu w latach [PLN/poc-km] indeksacja w czasie (ceny realne od 2024 r.) </t>
  </si>
  <si>
    <r>
      <t xml:space="preserve">Koszty jednostkowe zmian klimatu dla pojazdów drogowych </t>
    </r>
    <r>
      <rPr>
        <b/>
        <u/>
        <sz val="11"/>
        <color theme="1"/>
        <rFont val="Calibri"/>
        <family val="2"/>
        <charset val="238"/>
        <scheme val="minor"/>
      </rPr>
      <t>spalinowych</t>
    </r>
    <r>
      <rPr>
        <b/>
        <sz val="11"/>
        <color theme="1"/>
        <rFont val="Calibri"/>
        <family val="2"/>
        <charset val="238"/>
        <scheme val="minor"/>
      </rPr>
      <t xml:space="preserve"> – przykład kształtowania się kosztu w latach [PLN/poj-km] (ceny realne od 2024 r.) </t>
    </r>
  </si>
  <si>
    <r>
      <t xml:space="preserve">Koszty jednostkowe zmian klimatu dla pojazdów drogowych </t>
    </r>
    <r>
      <rPr>
        <b/>
        <u/>
        <sz val="11"/>
        <color theme="1"/>
        <rFont val="Calibri"/>
        <family val="2"/>
        <charset val="238"/>
        <scheme val="minor"/>
      </rPr>
      <t>elektrycznych i hybrydowych</t>
    </r>
    <r>
      <rPr>
        <b/>
        <sz val="11"/>
        <color theme="1"/>
        <rFont val="Calibri"/>
        <family val="2"/>
        <charset val="238"/>
        <scheme val="minor"/>
      </rPr>
      <t xml:space="preserve"> – przykład kształtowania się kosztu w latach [PLN/poj-km] indeksacja w czasie (ceny realne od 2024 r.) </t>
    </r>
  </si>
  <si>
    <r>
      <t xml:space="preserve">Koszty jednostkowe zmian klimatu w transporcie drogowym </t>
    </r>
    <r>
      <rPr>
        <b/>
        <u/>
        <sz val="11"/>
        <color theme="1"/>
        <rFont val="Calibri"/>
        <family val="2"/>
        <charset val="238"/>
        <scheme val="minor"/>
      </rPr>
      <t>ogółem</t>
    </r>
    <r>
      <rPr>
        <b/>
        <sz val="11"/>
        <color theme="1"/>
        <rFont val="Calibri"/>
        <family val="2"/>
        <charset val="238"/>
        <scheme val="minor"/>
      </rPr>
      <t xml:space="preserve"> dla średniej struktury floty pojazdów – przykład kształtowania się kosztu w latach [PLN/poj-km] indeksacja w czasie (ceny realne od 2024 r.) </t>
    </r>
  </si>
  <si>
    <r>
      <rPr>
        <u/>
        <sz val="11"/>
        <color theme="1"/>
        <rFont val="Calibri"/>
        <family val="2"/>
        <charset val="238"/>
        <scheme val="minor"/>
      </rPr>
      <t>UWAGA</t>
    </r>
    <r>
      <rPr>
        <sz val="11"/>
        <color theme="1"/>
        <rFont val="Calibri"/>
        <family val="2"/>
        <charset val="238"/>
        <scheme val="minor"/>
      </rPr>
      <t xml:space="preserve">, poniższa przykładowa tabela oparta jest na odwołaniach do określonych wartości w przykładowych tabelach w wierszu 116 i 237. W związku z tym w przypadku zmian w tamtych wierszach (np. zmiany przedziału prędkości, kategorii pojazdu elektrycznego w wierszu 237, zmiany z LV na HGV, terenu na falisty, nawierzchni na zdegradowaną), wartości przedstawione w poniższej tabeli przykładowej nie będą zgodne z opisami. </t>
    </r>
  </si>
  <si>
    <r>
      <t>Koszt jednostkowy emisji gazów cieplarnianych [PLN/t CO</t>
    </r>
    <r>
      <rPr>
        <b/>
        <vertAlign val="subscript"/>
        <sz val="11"/>
        <color theme="1"/>
        <rFont val="Calibri"/>
        <family val="2"/>
        <charset val="238"/>
        <scheme val="minor"/>
      </rPr>
      <t>2</t>
    </r>
    <r>
      <rPr>
        <b/>
        <sz val="11"/>
        <color theme="1"/>
        <rFont val="Calibri"/>
        <family val="2"/>
        <charset val="238"/>
        <scheme val="minor"/>
      </rPr>
      <t xml:space="preserve">e] – indeksacja w czasie (ceny realne od 2024 r.) </t>
    </r>
  </si>
  <si>
    <t xml:space="preserve">Koszty jednostkowe zmian klimatu w transporcie kolejowym – indeksacja w czasie (ceny realne od 2024 r.) </t>
  </si>
  <si>
    <t xml:space="preserve">Koszty jednostkowe zanieczyszczenia powietrza w transporcie drogowym – przykład kształtowania się kosztu w latach [PLN/poj-km] (ceny realne od 2024 r.) </t>
  </si>
  <si>
    <r>
      <t xml:space="preserve">Koszty jednostkowe zanieczyszczenia powietrza w transporcie drogowym </t>
    </r>
    <r>
      <rPr>
        <b/>
        <u/>
        <sz val="11"/>
        <color theme="1"/>
        <rFont val="Calibri"/>
        <family val="2"/>
        <charset val="238"/>
        <scheme val="minor"/>
      </rPr>
      <t>ogółem</t>
    </r>
    <r>
      <rPr>
        <b/>
        <sz val="11"/>
        <color theme="1"/>
        <rFont val="Calibri"/>
        <family val="2"/>
        <charset val="238"/>
        <scheme val="minor"/>
      </rPr>
      <t xml:space="preserve"> dla średniej struktury floty pojazdów – przykład kształtowania się kosztu w latach [PLN/poj-km] indeksacja w czasie (ceny realne od 2024 r.) </t>
    </r>
  </si>
  <si>
    <t xml:space="preserve">Koszty jednostkowe zanieczyszczenia powietrza w transporcie kolejowym – przykład kształtowania się kosztu w latach [PLN/poj-km] (ceny realne od 2024 r.) </t>
  </si>
  <si>
    <t xml:space="preserve">Średnie koszty jednostkowe emisji zanieczyszczeń w transporcie lądowym, PLN na tonę substancji wyemitowanej, indeksacja w czasie (ceny realne od 2024 r.) </t>
  </si>
  <si>
    <t xml:space="preserve">Krańcowe koszty jednostkowe hałasu [PLN/poj-km] – Polska, indeksacja w czasie (ceny realne od 2024 r.) </t>
  </si>
  <si>
    <r>
      <t xml:space="preserve">Koszt średni na osobę, na którą znacząco oddziałuje hałas </t>
    </r>
    <r>
      <rPr>
        <b/>
        <u/>
        <sz val="11"/>
        <color theme="1"/>
        <rFont val="Calibri"/>
        <family val="2"/>
        <charset val="238"/>
        <scheme val="minor"/>
      </rPr>
      <t>drogowy</t>
    </r>
    <r>
      <rPr>
        <b/>
        <sz val="11"/>
        <color theme="1"/>
        <rFont val="Calibri"/>
        <family val="2"/>
        <charset val="238"/>
        <scheme val="minor"/>
      </rPr>
      <t xml:space="preserve">, Polska – PLN, indeksacja w czasie (ceny realne od 2024 r.) </t>
    </r>
  </si>
  <si>
    <r>
      <t xml:space="preserve">Koszt średni na osobę, na którą znacząco oddziałuje hałas </t>
    </r>
    <r>
      <rPr>
        <b/>
        <u/>
        <sz val="11"/>
        <color theme="1"/>
        <rFont val="Calibri"/>
        <family val="2"/>
        <charset val="238"/>
        <scheme val="minor"/>
      </rPr>
      <t>kolejowy</t>
    </r>
    <r>
      <rPr>
        <b/>
        <sz val="11"/>
        <color theme="1"/>
        <rFont val="Calibri"/>
        <family val="2"/>
        <charset val="238"/>
        <scheme val="minor"/>
      </rPr>
      <t xml:space="preserve">, Polska – PLN, indeksacja w czasie (ceny realne od 2024 r.) </t>
    </r>
  </si>
  <si>
    <r>
      <t xml:space="preserve">Średnie koszty jednostkowe hałasu samochodów </t>
    </r>
    <r>
      <rPr>
        <b/>
        <u/>
        <sz val="11"/>
        <rFont val="Calibri"/>
        <family val="2"/>
        <charset val="238"/>
        <scheme val="minor"/>
      </rPr>
      <t>spalinowych</t>
    </r>
    <r>
      <rPr>
        <b/>
        <sz val="11"/>
        <rFont val="Calibri"/>
        <family val="2"/>
        <charset val="238"/>
        <scheme val="minor"/>
      </rPr>
      <t xml:space="preserve"> i pociągów [PLN/poj-km] </t>
    </r>
    <r>
      <rPr>
        <b/>
        <sz val="11"/>
        <rFont val="Calibri"/>
        <family val="2"/>
        <charset val="238"/>
      </rPr>
      <t>–</t>
    </r>
    <r>
      <rPr>
        <b/>
        <sz val="11"/>
        <rFont val="Calibri"/>
        <family val="2"/>
        <charset val="238"/>
        <scheme val="minor"/>
      </rPr>
      <t xml:space="preserve"> Polska, indeksacja w czasie (ceny realne od 2024 r.), wartości przed uwzględnieniem przeliczników </t>
    </r>
  </si>
  <si>
    <r>
      <t xml:space="preserve">Koszty jednostkowe hałasu samochodów </t>
    </r>
    <r>
      <rPr>
        <b/>
        <u/>
        <sz val="11"/>
        <rFont val="Calibri"/>
        <family val="2"/>
        <charset val="238"/>
        <scheme val="minor"/>
      </rPr>
      <t>spalinowych</t>
    </r>
    <r>
      <rPr>
        <b/>
        <sz val="11"/>
        <rFont val="Calibri"/>
        <family val="2"/>
        <charset val="238"/>
        <scheme val="minor"/>
      </rPr>
      <t xml:space="preserve"> i</t>
    </r>
    <r>
      <rPr>
        <b/>
        <sz val="11"/>
        <rFont val="Calibri"/>
        <family val="2"/>
        <charset val="238"/>
      </rPr>
      <t> </t>
    </r>
    <r>
      <rPr>
        <b/>
        <sz val="11"/>
        <rFont val="Calibri"/>
        <family val="2"/>
        <charset val="238"/>
        <scheme val="minor"/>
      </rPr>
      <t xml:space="preserve">pociągów – przykład kształtowania się kosztu w latach [PLN/poj-km] (ceny realne od 2024 r.) </t>
    </r>
  </si>
  <si>
    <r>
      <t xml:space="preserve">Koszty jednostkowe hałasu w transporcie drogowym </t>
    </r>
    <r>
      <rPr>
        <b/>
        <u/>
        <sz val="11"/>
        <color theme="1"/>
        <rFont val="Calibri"/>
        <family val="2"/>
        <charset val="238"/>
        <scheme val="minor"/>
      </rPr>
      <t>ogółem</t>
    </r>
    <r>
      <rPr>
        <b/>
        <sz val="11"/>
        <color theme="1"/>
        <rFont val="Calibri"/>
        <family val="2"/>
        <charset val="238"/>
        <scheme val="minor"/>
      </rPr>
      <t xml:space="preserve"> dla średniej struktury floty pojazdów – przykład kształtowania się kosztu w latach [PLN/poj-km] indeksacja w czasie (ceny realne od 2024 r.) </t>
    </r>
  </si>
  <si>
    <r>
      <t xml:space="preserve">Koszty jednostkowe hałasu w transporcie </t>
    </r>
    <r>
      <rPr>
        <b/>
        <u/>
        <sz val="11"/>
        <color theme="1"/>
        <rFont val="Calibri"/>
        <family val="2"/>
        <charset val="238"/>
        <scheme val="minor"/>
      </rPr>
      <t>kolejowym</t>
    </r>
    <r>
      <rPr>
        <b/>
        <sz val="11"/>
        <color theme="1"/>
        <rFont val="Calibri"/>
        <family val="2"/>
        <charset val="238"/>
        <scheme val="minor"/>
      </rPr>
      <t xml:space="preserve"> na obszarze zamiejskim – kształtowanie się kosztu w latach [PLN/poc-km] indeksacja w czasie (ceny realne od 2024 r.) </t>
    </r>
  </si>
  <si>
    <t xml:space="preserve">Koszty jednostkowe wypadków drogowych, PLN/ofiara, Polska – indeksacja w czasie (ceny realne od 2024 r.) </t>
  </si>
  <si>
    <t>Średnie koszty jednostkowe, wartości dla Polski na 1 stycznia 2024 r. (=koniec 2023 r.), PLN</t>
  </si>
  <si>
    <t xml:space="preserve">Wybrane koszty jednostkowe w transporcie pasażerskim drogowym – przykład kształtowania się kosztu w latach [PLN/pas-km] indeksacja w czasie (ceny realne od 2024 r.) </t>
  </si>
  <si>
    <t xml:space="preserve">Wybrane koszty jednostkowe w transporcie pasażerskim kolejowym – przykład kształtowania się kosztu w latach [PLN/pas-km] indeksacja w czasie (ceny realne od 2024 r.) </t>
  </si>
  <si>
    <t xml:space="preserve">Koszty jednostkowe eksploatacji i utrzymania bieżącego – kształtowanie się kosztu w latach [PLN/km] netto, indeksacja w czasie (ceny realne od 2024 r.) </t>
  </si>
  <si>
    <t xml:space="preserve">Koszty jednostkowe utrzymania okresowego (remontów) – kształtowanie się kosztu w latach [PLN/km] netto, indeksacja w czasie (ceny realne od 2024 r.) </t>
  </si>
  <si>
    <t xml:space="preserve">Koszty jednostkowe eksploatacji elektronicznego systemu poboru opłat za przejazd drogami publicznymi zarządzanymi przez GDDKiA – kształtowanie się kosztu w latach [PLN/km] netto, indeksacja w czasie (ceny realne od 2024 r.) </t>
  </si>
  <si>
    <r>
      <t xml:space="preserve">Źródło: GUS, https://stat.gov.pl/wskazniki-makroekonomiczne/ - Roczne wskaźniki makroekonomiczne, arkusz "WSKAŹNIKI CEN" </t>
    </r>
    <r>
      <rPr>
        <i/>
        <sz val="11"/>
        <color rgb="FFFF0000"/>
        <rFont val="Calibri"/>
        <family val="2"/>
        <charset val="238"/>
        <scheme val="minor"/>
      </rPr>
      <t>(aktualizacja 19.04.2024)</t>
    </r>
  </si>
  <si>
    <r>
      <t xml:space="preserve">Źródło: GUS, https://stat.gov.pl/wskazniki-makroekonomiczne/ - Roczne wskaźniki makroekonomiczne, arkusz "RACH_NARODOWE_ESA2010" </t>
    </r>
    <r>
      <rPr>
        <i/>
        <sz val="11"/>
        <color rgb="FFFF0000"/>
        <rFont val="Calibri"/>
        <family val="2"/>
        <charset val="238"/>
        <scheme val="minor"/>
      </rPr>
      <t>(aktualizacja 18.04.2024)</t>
    </r>
  </si>
  <si>
    <r>
      <t xml:space="preserve">Źródło: GUS, https://stat.gov.pl/wskazniki-makroekonomiczne/ - Roczne wskaźniki makroekonomiczne, arkusz "LUDNOŚĆ" </t>
    </r>
    <r>
      <rPr>
        <i/>
        <sz val="11"/>
        <color rgb="FFFF0000"/>
        <rFont val="Calibri"/>
        <family val="2"/>
        <charset val="238"/>
        <scheme val="minor"/>
      </rPr>
      <t>(aktualizacja 08.04.2024)</t>
    </r>
    <r>
      <rPr>
        <i/>
        <sz val="11"/>
        <rFont val="Calibri"/>
        <family val="2"/>
        <charset val="238"/>
        <scheme val="minor"/>
      </rPr>
      <t xml:space="preserve"> </t>
    </r>
    <r>
      <rPr>
        <i/>
        <sz val="11"/>
        <color rgb="FFFF0000"/>
        <rFont val="Calibri"/>
        <family val="2"/>
        <charset val="238"/>
        <scheme val="minor"/>
      </rPr>
      <t>+publikacja GUS „Ludność. Stan i struktura ludności oraz ruch naturalny w przekroju terytorialnym. Stan w dniu 31 grudnia” (GUS, 29.04.2024)</t>
    </r>
  </si>
  <si>
    <r>
      <t xml:space="preserve">Źródło: Wytyczne dotyczące stosowania jednolitych wskaźników makroekonomicznych będących podstawą oszacowania skutków finansowych projektowanych ustaw, Minister Finansów, </t>
    </r>
    <r>
      <rPr>
        <i/>
        <sz val="11"/>
        <color rgb="FFFF0000"/>
        <rFont val="Calibri"/>
        <family val="2"/>
        <charset val="238"/>
        <scheme val="minor"/>
      </rPr>
      <t>13 maja 2024 r.</t>
    </r>
  </si>
  <si>
    <r>
      <t xml:space="preserve">Źródło: GUS, Prognoza ludności na lata </t>
    </r>
    <r>
      <rPr>
        <i/>
        <sz val="11"/>
        <color rgb="FFFF0000"/>
        <rFont val="Calibri"/>
        <family val="2"/>
        <charset val="238"/>
        <scheme val="minor"/>
      </rPr>
      <t>2023-2060 (opracowana w 2023)</t>
    </r>
    <r>
      <rPr>
        <i/>
        <sz val="11"/>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</si>
</sst>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0.00_ ;\-#,##0.00\ "/>
    <numFmt numFmtId="165" formatCode="#,##0.000"/>
    <numFmt numFmtId="166" formatCode="#,##0.0000"/>
    <numFmt numFmtId="167" formatCode="\+#,##0.00;\–#,##0.00;&quot;–&quot;;@"/>
    <numFmt numFmtId="168" formatCode="0.000"/>
    <numFmt numFmtId="169" formatCode="0.0000"/>
    <numFmt numFmtId="170" formatCode="#,##0.0"/>
    <numFmt numFmtId="171" formatCode="#,##0.000000"/>
    <numFmt numFmtId="172" formatCode="0.0%"/>
    <numFmt numFmtId="173" formatCode="\+#,##0.00%;\–#,##0.00%;&quot;–&quot;;@"/>
    <numFmt numFmtId="174" formatCode="#,##0;\–#,##0;&quot;–&quot;;@"/>
    <numFmt numFmtId="175" formatCode="#,##0.00%;\–#,##0.00%;&quot;–&quot;;@"/>
    <numFmt numFmtId="176" formatCode="0.000000"/>
    <numFmt numFmtId="177" formatCode="\+#,##0.0%;\–#,##0.0%;&quot;–&quot;;@"/>
    <numFmt numFmtId="178" formatCode="mmm\-yyyy"/>
    <numFmt numFmtId="179" formatCode="\+#,##0.0;\–#,##0.0;&quot;–&quot;;@"/>
    <numFmt numFmtId="180" formatCode="\+#,##0;\–#,##0;&quot;–&quot;;@"/>
  </numFmts>
  <fonts count="53">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b/>
      <sz val="16"/>
      <name val="Calibri"/>
      <family val="2"/>
      <charset val="238"/>
      <scheme val="minor"/>
    </font>
    <font>
      <b/>
      <sz val="11"/>
      <name val="Calibri"/>
      <family val="2"/>
      <charset val="238"/>
      <scheme val="minor"/>
    </font>
    <font>
      <u/>
      <sz val="11"/>
      <color theme="1"/>
      <name val="Calibri"/>
      <family val="2"/>
      <charset val="238"/>
      <scheme val="minor"/>
    </font>
    <font>
      <i/>
      <sz val="11"/>
      <color theme="1"/>
      <name val="Calibri"/>
      <family val="2"/>
      <charset val="238"/>
      <scheme val="minor"/>
    </font>
    <font>
      <sz val="11"/>
      <name val="Calibri"/>
      <family val="2"/>
      <charset val="238"/>
      <scheme val="minor"/>
    </font>
    <font>
      <b/>
      <sz val="12"/>
      <color theme="3"/>
      <name val="Calibri"/>
      <family val="2"/>
      <charset val="238"/>
      <scheme val="minor"/>
    </font>
    <font>
      <b/>
      <sz val="9"/>
      <color indexed="81"/>
      <name val="Tahoma"/>
      <family val="2"/>
      <charset val="238"/>
    </font>
    <font>
      <sz val="9"/>
      <color indexed="81"/>
      <name val="Tahoma"/>
      <family val="2"/>
      <charset val="238"/>
    </font>
    <font>
      <sz val="11"/>
      <color indexed="20"/>
      <name val="Czcionka tekstu podstawowego"/>
      <family val="2"/>
      <charset val="238"/>
    </font>
    <font>
      <i/>
      <sz val="11"/>
      <name val="Calibri"/>
      <family val="2"/>
      <charset val="238"/>
      <scheme val="minor"/>
    </font>
    <font>
      <b/>
      <sz val="12"/>
      <name val="Calibri"/>
      <family val="2"/>
      <charset val="238"/>
      <scheme val="minor"/>
    </font>
    <font>
      <b/>
      <u/>
      <sz val="12"/>
      <name val="Calibri"/>
      <family val="2"/>
      <charset val="238"/>
      <scheme val="minor"/>
    </font>
    <font>
      <b/>
      <i/>
      <sz val="14"/>
      <name val="Calibri"/>
      <family val="2"/>
      <charset val="238"/>
      <scheme val="minor"/>
    </font>
    <font>
      <sz val="10"/>
      <name val="Czcionka tekstu podstawowego"/>
      <charset val="238"/>
    </font>
    <font>
      <vertAlign val="subscript"/>
      <sz val="11"/>
      <color theme="1"/>
      <name val="Calibri"/>
      <family val="2"/>
      <charset val="238"/>
      <scheme val="minor"/>
    </font>
    <font>
      <b/>
      <vertAlign val="subscript"/>
      <sz val="11"/>
      <color theme="1"/>
      <name val="Calibri"/>
      <family val="2"/>
      <charset val="238"/>
      <scheme val="minor"/>
    </font>
    <font>
      <sz val="8"/>
      <color indexed="81"/>
      <name val="Tahoma"/>
      <family val="2"/>
      <charset val="238"/>
    </font>
    <font>
      <b/>
      <sz val="8"/>
      <color indexed="81"/>
      <name val="Tahoma"/>
      <family val="2"/>
      <charset val="238"/>
    </font>
    <font>
      <sz val="11"/>
      <color theme="1"/>
      <name val="Czcionka tekstu podstawowego"/>
      <family val="2"/>
      <charset val="238"/>
    </font>
    <font>
      <i/>
      <vertAlign val="subscript"/>
      <sz val="11"/>
      <color theme="1"/>
      <name val="Calibri"/>
      <family val="2"/>
      <charset val="238"/>
      <scheme val="minor"/>
    </font>
    <font>
      <u/>
      <sz val="9"/>
      <color indexed="81"/>
      <name val="Tahoma"/>
      <family val="2"/>
      <charset val="238"/>
    </font>
    <font>
      <i/>
      <sz val="9"/>
      <color indexed="81"/>
      <name val="Tahoma"/>
      <family val="2"/>
      <charset val="238"/>
    </font>
    <font>
      <sz val="11"/>
      <color theme="1"/>
      <name val="Calibri"/>
      <family val="2"/>
      <charset val="238"/>
    </font>
    <font>
      <i/>
      <sz val="10"/>
      <color theme="1"/>
      <name val="Calibri"/>
      <family val="2"/>
      <charset val="238"/>
      <scheme val="minor"/>
    </font>
    <font>
      <b/>
      <i/>
      <sz val="10"/>
      <color theme="1"/>
      <name val="Calibri"/>
      <family val="2"/>
      <charset val="238"/>
      <scheme val="minor"/>
    </font>
    <font>
      <i/>
      <sz val="10"/>
      <name val="Calibri"/>
      <family val="2"/>
      <charset val="238"/>
      <scheme val="minor"/>
    </font>
    <font>
      <sz val="11"/>
      <color rgb="FF000000"/>
      <name val="Calibri"/>
      <family val="2"/>
      <charset val="238"/>
      <scheme val="minor"/>
    </font>
    <font>
      <u/>
      <sz val="11"/>
      <name val="Calibri"/>
      <family val="2"/>
      <charset val="238"/>
      <scheme val="minor"/>
    </font>
    <font>
      <b/>
      <sz val="16"/>
      <name val="Calibri"/>
      <family val="2"/>
      <charset val="238"/>
    </font>
    <font>
      <b/>
      <sz val="11"/>
      <name val="Calibri"/>
      <family val="2"/>
      <charset val="238"/>
    </font>
    <font>
      <b/>
      <i/>
      <sz val="11"/>
      <color theme="1"/>
      <name val="Calibri"/>
      <family val="2"/>
      <charset val="238"/>
      <scheme val="minor"/>
    </font>
    <font>
      <b/>
      <sz val="11"/>
      <color theme="1"/>
      <name val="Calibri"/>
      <family val="2"/>
      <charset val="238"/>
    </font>
    <font>
      <sz val="9"/>
      <color theme="1"/>
      <name val="Calibri"/>
      <family val="2"/>
      <charset val="238"/>
      <scheme val="minor"/>
    </font>
    <font>
      <u/>
      <sz val="11"/>
      <color theme="10"/>
      <name val="Calibri"/>
      <family val="2"/>
      <charset val="238"/>
      <scheme val="minor"/>
    </font>
    <font>
      <b/>
      <vertAlign val="subscript"/>
      <sz val="16"/>
      <name val="Calibri"/>
      <family val="2"/>
      <charset val="238"/>
      <scheme val="minor"/>
    </font>
    <font>
      <u/>
      <vertAlign val="subscript"/>
      <sz val="11"/>
      <color theme="10"/>
      <name val="Calibri"/>
      <family val="2"/>
      <charset val="238"/>
      <scheme val="minor"/>
    </font>
    <font>
      <vertAlign val="superscript"/>
      <sz val="11"/>
      <color theme="1"/>
      <name val="Calibri"/>
      <family val="2"/>
      <charset val="238"/>
      <scheme val="minor"/>
    </font>
    <font>
      <i/>
      <vertAlign val="superscript"/>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i/>
      <sz val="8"/>
      <color theme="1"/>
      <name val="Calibri"/>
      <family val="2"/>
      <charset val="238"/>
      <scheme val="minor"/>
    </font>
    <font>
      <i/>
      <sz val="14"/>
      <color theme="1"/>
      <name val="Calibri"/>
      <family val="2"/>
      <charset val="238"/>
      <scheme val="minor"/>
    </font>
    <font>
      <sz val="8"/>
      <color theme="1"/>
      <name val="Calibri"/>
      <family val="2"/>
      <charset val="238"/>
      <scheme val="minor"/>
    </font>
    <font>
      <sz val="10"/>
      <color theme="1"/>
      <name val="Calibri"/>
      <family val="2"/>
      <charset val="238"/>
      <scheme val="minor"/>
    </font>
    <font>
      <b/>
      <u/>
      <sz val="11"/>
      <color theme="1"/>
      <name val="Calibri"/>
      <family val="2"/>
      <charset val="238"/>
      <scheme val="minor"/>
    </font>
    <font>
      <b/>
      <u/>
      <sz val="11"/>
      <name val="Calibri"/>
      <family val="2"/>
      <charset val="238"/>
      <scheme val="minor"/>
    </font>
    <font>
      <sz val="11"/>
      <name val="Calibri"/>
      <family val="2"/>
      <charset val="238"/>
    </font>
    <font>
      <vertAlign val="subscript"/>
      <sz val="11"/>
      <name val="Calibri"/>
      <family val="2"/>
      <charset val="238"/>
      <scheme val="minor"/>
    </font>
    <font>
      <i/>
      <sz val="11"/>
      <color rgb="FFFF0000"/>
      <name val="Calibri"/>
      <family val="2"/>
      <charset val="238"/>
      <scheme val="minor"/>
    </font>
  </fonts>
  <fills count="14">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lightGray"/>
    </fill>
    <fill>
      <patternFill patternType="solid">
        <fgColor theme="4" tint="0.79998168889431442"/>
        <bgColor indexed="65"/>
      </patternFill>
    </fill>
    <fill>
      <patternFill patternType="solid">
        <fgColor indexed="45"/>
      </patternFill>
    </fill>
    <fill>
      <patternFill patternType="solid">
        <fgColor rgb="FFFFFF00"/>
        <bgColor indexed="64"/>
      </patternFill>
    </fill>
    <fill>
      <patternFill patternType="solid">
        <fgColor theme="0"/>
        <bgColor indexed="64"/>
      </patternFill>
    </fill>
    <fill>
      <patternFill patternType="lightGray">
        <bgColor theme="0"/>
      </patternFill>
    </fill>
    <fill>
      <patternFill patternType="gray125">
        <bgColor theme="0"/>
      </patternFill>
    </fill>
    <fill>
      <patternFill patternType="solid">
        <fgColor indexed="65"/>
        <bgColor indexed="64"/>
      </patternFill>
    </fill>
    <fill>
      <patternFill patternType="solid">
        <fgColor theme="2"/>
        <bgColor indexed="64"/>
      </patternFill>
    </fill>
    <fill>
      <patternFill patternType="gray125">
        <bgColor rgb="FFFFC000"/>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dotted">
        <color indexed="64"/>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bottom style="thin">
        <color indexed="64"/>
      </bottom>
      <diagonal/>
    </border>
    <border>
      <left style="medium">
        <color auto="1"/>
      </left>
      <right style="thin">
        <color auto="1"/>
      </right>
      <top/>
      <bottom style="medium">
        <color auto="1"/>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bottom style="thin">
        <color indexed="64"/>
      </bottom>
      <diagonal/>
    </border>
    <border>
      <left/>
      <right/>
      <top style="medium">
        <color auto="1"/>
      </top>
      <bottom/>
      <diagonal/>
    </border>
    <border>
      <left style="double">
        <color indexed="64"/>
      </left>
      <right style="double">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auto="1"/>
      </left>
      <right/>
      <top/>
      <bottom style="thin">
        <color auto="1"/>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auto="1"/>
      </left>
      <right/>
      <top/>
      <bottom/>
      <diagonal/>
    </border>
    <border>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bottom/>
      <diagonal/>
    </border>
    <border diagonalUp="1" diagonalDown="1">
      <left style="hair">
        <color auto="1"/>
      </left>
      <right style="hair">
        <color auto="1"/>
      </right>
      <top style="hair">
        <color auto="1"/>
      </top>
      <bottom style="hair">
        <color auto="1"/>
      </bottom>
      <diagonal style="dotted">
        <color auto="1"/>
      </diagonal>
    </border>
    <border>
      <left/>
      <right style="double">
        <color indexed="64"/>
      </right>
      <top style="medium">
        <color indexed="64"/>
      </top>
      <bottom/>
      <diagonal/>
    </border>
    <border diagonalUp="1" diagonalDown="1">
      <left style="hair">
        <color auto="1"/>
      </left>
      <right style="double">
        <color auto="1"/>
      </right>
      <top style="thin">
        <color indexed="64"/>
      </top>
      <bottom style="hair">
        <color auto="1"/>
      </bottom>
      <diagonal style="dotted">
        <color auto="1"/>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diagonalUp="1" diagonalDown="1">
      <left style="thin">
        <color indexed="64"/>
      </left>
      <right style="thin">
        <color indexed="64"/>
      </right>
      <top style="thin">
        <color indexed="64"/>
      </top>
      <bottom/>
      <diagonal style="dotted">
        <color indexed="64"/>
      </diagonal>
    </border>
    <border diagonalUp="1" diagonalDown="1">
      <left style="thin">
        <color indexed="64"/>
      </left>
      <right style="thin">
        <color indexed="64"/>
      </right>
      <top/>
      <bottom style="thin">
        <color indexed="64"/>
      </bottom>
      <diagonal style="dotted">
        <color indexed="64"/>
      </diagonal>
    </border>
  </borders>
  <cellStyleXfs count="6">
    <xf numFmtId="0" fontId="0" fillId="0" borderId="0"/>
    <xf numFmtId="0" fontId="3" fillId="0" borderId="0"/>
    <xf numFmtId="168" fontId="9" fillId="5" borderId="0"/>
    <xf numFmtId="0" fontId="12" fillId="6" borderId="0" applyNumberFormat="0" applyBorder="0" applyAlignment="0" applyProtection="0"/>
    <xf numFmtId="0" fontId="22" fillId="0" borderId="0"/>
    <xf numFmtId="0" fontId="37" fillId="0" borderId="0" applyNumberFormat="0" applyFill="0" applyBorder="0" applyAlignment="0" applyProtection="0"/>
  </cellStyleXfs>
  <cellXfs count="902">
    <xf numFmtId="0" fontId="0" fillId="0" borderId="0" xfId="0"/>
    <xf numFmtId="0" fontId="2" fillId="0" borderId="0" xfId="0" applyFont="1"/>
    <xf numFmtId="0" fontId="1" fillId="2" borderId="2" xfId="0" applyFont="1" applyFill="1" applyBorder="1" applyAlignment="1">
      <alignment horizontal="center" shrinkToFit="1"/>
    </xf>
    <xf numFmtId="164" fontId="1" fillId="3" borderId="1" xfId="0" applyNumberFormat="1" applyFont="1" applyFill="1" applyBorder="1" applyAlignment="1">
      <alignment horizontal="center"/>
    </xf>
    <xf numFmtId="0" fontId="4" fillId="2" borderId="0" xfId="1" applyFont="1" applyFill="1" applyBorder="1" applyAlignment="1">
      <alignment vertical="center"/>
    </xf>
    <xf numFmtId="0" fontId="5" fillId="2" borderId="0" xfId="1" applyFont="1" applyFill="1" applyBorder="1" applyAlignment="1">
      <alignment vertical="center"/>
    </xf>
    <xf numFmtId="0" fontId="1" fillId="2" borderId="1" xfId="0" applyFont="1" applyFill="1" applyBorder="1" applyAlignment="1">
      <alignment horizontal="center"/>
    </xf>
    <xf numFmtId="4" fontId="1" fillId="0" borderId="1" xfId="0" applyNumberFormat="1" applyFont="1" applyBorder="1"/>
    <xf numFmtId="0" fontId="0" fillId="0" borderId="1" xfId="0" applyFont="1" applyBorder="1" applyAlignment="1">
      <alignment horizontal="left" vertical="center" wrapText="1"/>
    </xf>
    <xf numFmtId="0" fontId="0" fillId="2" borderId="1" xfId="0" applyFont="1" applyFill="1" applyBorder="1" applyAlignment="1">
      <alignment horizontal="left" vertical="center"/>
    </xf>
    <xf numFmtId="165" fontId="1" fillId="0" borderId="1" xfId="0" applyNumberFormat="1" applyFont="1" applyBorder="1"/>
    <xf numFmtId="166" fontId="1" fillId="0" borderId="1" xfId="0" applyNumberFormat="1" applyFont="1" applyBorder="1"/>
    <xf numFmtId="166" fontId="1" fillId="3" borderId="1" xfId="0" applyNumberFormat="1" applyFont="1" applyFill="1" applyBorder="1"/>
    <xf numFmtId="165" fontId="1" fillId="3" borderId="1" xfId="0" applyNumberFormat="1" applyFont="1" applyFill="1" applyBorder="1"/>
    <xf numFmtId="0" fontId="0" fillId="0" borderId="0" xfId="0" quotePrefix="1"/>
    <xf numFmtId="0" fontId="7" fillId="0" borderId="1" xfId="0" applyFont="1" applyBorder="1" applyAlignment="1">
      <alignment horizontal="left" vertical="center" wrapText="1" indent="1"/>
    </xf>
    <xf numFmtId="167" fontId="7" fillId="3" borderId="1" xfId="0" applyNumberFormat="1" applyFont="1" applyFill="1" applyBorder="1" applyAlignment="1">
      <alignment horizontal="center"/>
    </xf>
    <xf numFmtId="167" fontId="7" fillId="0" borderId="1" xfId="0" applyNumberFormat="1" applyFont="1" applyBorder="1"/>
    <xf numFmtId="167" fontId="7" fillId="0" borderId="3" xfId="0" applyNumberFormat="1" applyFont="1" applyBorder="1"/>
    <xf numFmtId="165" fontId="1" fillId="4" borderId="1" xfId="0" applyNumberFormat="1" applyFont="1" applyFill="1" applyBorder="1"/>
    <xf numFmtId="168" fontId="2" fillId="0" borderId="8" xfId="0" applyNumberFormat="1" applyFont="1" applyBorder="1" applyAlignment="1">
      <alignment horizontal="center"/>
    </xf>
    <xf numFmtId="168" fontId="2" fillId="0" borderId="9" xfId="0" applyNumberFormat="1" applyFont="1" applyBorder="1" applyAlignment="1">
      <alignment horizontal="center"/>
    </xf>
    <xf numFmtId="0" fontId="0" fillId="0" borderId="10"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7" xfId="0" applyFont="1" applyBorder="1" applyAlignment="1">
      <alignment horizontal="center" vertical="center" wrapText="1"/>
    </xf>
    <xf numFmtId="0" fontId="2" fillId="0" borderId="7" xfId="0" applyFont="1" applyBorder="1" applyAlignment="1">
      <alignment horizontal="center"/>
    </xf>
    <xf numFmtId="0" fontId="0" fillId="0" borderId="10" xfId="0" applyFont="1" applyBorder="1"/>
    <xf numFmtId="0" fontId="0" fillId="0" borderId="7" xfId="0" applyFont="1" applyBorder="1"/>
    <xf numFmtId="168" fontId="0" fillId="0" borderId="16" xfId="0" applyNumberFormat="1" applyFont="1" applyBorder="1"/>
    <xf numFmtId="168" fontId="0" fillId="0" borderId="17" xfId="0" applyNumberFormat="1" applyFont="1" applyBorder="1"/>
    <xf numFmtId="168" fontId="0" fillId="3" borderId="11" xfId="0" applyNumberFormat="1" applyFont="1" applyFill="1" applyBorder="1"/>
    <xf numFmtId="168" fontId="0" fillId="3" borderId="12" xfId="0" applyNumberFormat="1" applyFont="1" applyFill="1" applyBorder="1"/>
    <xf numFmtId="0" fontId="2" fillId="0" borderId="19" xfId="0" applyFont="1" applyBorder="1"/>
    <xf numFmtId="168" fontId="2" fillId="0" borderId="16" xfId="0" applyNumberFormat="1" applyFont="1" applyBorder="1" applyAlignment="1">
      <alignment horizontal="center"/>
    </xf>
    <xf numFmtId="168" fontId="2" fillId="0" borderId="17" xfId="0" applyNumberFormat="1" applyFont="1" applyBorder="1" applyAlignment="1">
      <alignment horizontal="center"/>
    </xf>
    <xf numFmtId="0" fontId="7" fillId="0" borderId="0" xfId="0" applyFont="1"/>
    <xf numFmtId="0" fontId="8" fillId="2" borderId="1" xfId="0" applyFont="1" applyFill="1" applyBorder="1"/>
    <xf numFmtId="0" fontId="13" fillId="0" borderId="0" xfId="0" applyFont="1" applyFill="1" applyBorder="1" applyAlignment="1"/>
    <xf numFmtId="0" fontId="8" fillId="0" borderId="0" xfId="0" applyFont="1" applyFill="1" applyBorder="1" applyAlignment="1"/>
    <xf numFmtId="0" fontId="5" fillId="0" borderId="0" xfId="0" applyFont="1" applyFill="1" applyBorder="1"/>
    <xf numFmtId="0" fontId="5" fillId="2" borderId="1" xfId="0" applyFont="1" applyFill="1" applyBorder="1" applyAlignment="1">
      <alignment horizontal="center"/>
    </xf>
    <xf numFmtId="0" fontId="8" fillId="2" borderId="1" xfId="0" applyFont="1" applyFill="1" applyBorder="1" applyAlignment="1"/>
    <xf numFmtId="170" fontId="8" fillId="8" borderId="1" xfId="0" applyNumberFormat="1" applyFont="1" applyFill="1" applyBorder="1"/>
    <xf numFmtId="170" fontId="8" fillId="0" borderId="1" xfId="0" applyNumberFormat="1" applyFont="1" applyFill="1" applyBorder="1"/>
    <xf numFmtId="170" fontId="8" fillId="4" borderId="1" xfId="0" applyNumberFormat="1" applyFont="1" applyFill="1" applyBorder="1"/>
    <xf numFmtId="165" fontId="8" fillId="0" borderId="20" xfId="0" applyNumberFormat="1" applyFont="1" applyBorder="1"/>
    <xf numFmtId="0" fontId="8" fillId="0" borderId="0" xfId="0" applyFont="1" applyFill="1" applyBorder="1"/>
    <xf numFmtId="165" fontId="8" fillId="0" borderId="1" xfId="0" applyNumberFormat="1" applyFont="1" applyBorder="1"/>
    <xf numFmtId="165" fontId="8" fillId="4" borderId="1" xfId="0" applyNumberFormat="1" applyFont="1" applyFill="1" applyBorder="1"/>
    <xf numFmtId="0" fontId="0" fillId="0" borderId="25" xfId="0" applyBorder="1"/>
    <xf numFmtId="0" fontId="0" fillId="0" borderId="26" xfId="0" applyBorder="1"/>
    <xf numFmtId="0" fontId="0" fillId="0" borderId="27" xfId="0" applyBorder="1"/>
    <xf numFmtId="170" fontId="8" fillId="4" borderId="23" xfId="0" applyNumberFormat="1" applyFont="1" applyFill="1" applyBorder="1"/>
    <xf numFmtId="165" fontId="8" fillId="0" borderId="28" xfId="0" applyNumberFormat="1" applyFont="1" applyBorder="1"/>
    <xf numFmtId="165" fontId="8" fillId="4" borderId="23" xfId="0" applyNumberFormat="1" applyFont="1" applyFill="1" applyBorder="1"/>
    <xf numFmtId="165" fontId="8" fillId="0" borderId="22" xfId="0" applyNumberFormat="1" applyFont="1" applyBorder="1"/>
    <xf numFmtId="165" fontId="8" fillId="0" borderId="23" xfId="0" applyNumberFormat="1" applyFont="1" applyBorder="1"/>
    <xf numFmtId="0" fontId="14" fillId="0" borderId="0" xfId="0" applyFont="1"/>
    <xf numFmtId="0" fontId="5" fillId="2" borderId="29" xfId="0" applyFont="1" applyFill="1" applyBorder="1"/>
    <xf numFmtId="0" fontId="8" fillId="2" borderId="29" xfId="0" applyFont="1" applyFill="1" applyBorder="1"/>
    <xf numFmtId="0" fontId="5" fillId="2" borderId="30" xfId="0" applyFont="1" applyFill="1" applyBorder="1"/>
    <xf numFmtId="0" fontId="16" fillId="0" borderId="0" xfId="0" applyFont="1" applyFill="1"/>
    <xf numFmtId="0" fontId="17" fillId="0" borderId="0" xfId="0" applyFont="1" applyFill="1"/>
    <xf numFmtId="0" fontId="8" fillId="0" borderId="29" xfId="0" applyFont="1" applyBorder="1"/>
    <xf numFmtId="0" fontId="8" fillId="0" borderId="1" xfId="0" applyFont="1" applyBorder="1"/>
    <xf numFmtId="2" fontId="8" fillId="0" borderId="0" xfId="0" applyNumberFormat="1" applyFont="1" applyFill="1" applyBorder="1"/>
    <xf numFmtId="169" fontId="8" fillId="0" borderId="1" xfId="0" applyNumberFormat="1" applyFont="1" applyBorder="1"/>
    <xf numFmtId="0" fontId="0" fillId="0" borderId="21" xfId="0" applyBorder="1"/>
    <xf numFmtId="0" fontId="0" fillId="0" borderId="18" xfId="0" applyBorder="1"/>
    <xf numFmtId="0" fontId="8" fillId="0" borderId="0" xfId="0" quotePrefix="1" applyFont="1" applyBorder="1"/>
    <xf numFmtId="169" fontId="8" fillId="3" borderId="1" xfId="0" applyNumberFormat="1" applyFont="1" applyFill="1" applyBorder="1"/>
    <xf numFmtId="0" fontId="0" fillId="0" borderId="27" xfId="0" quotePrefix="1" applyBorder="1"/>
    <xf numFmtId="169" fontId="8" fillId="0" borderId="22" xfId="0" applyNumberFormat="1" applyFont="1" applyBorder="1"/>
    <xf numFmtId="169" fontId="8" fillId="0" borderId="23" xfId="0" applyNumberFormat="1" applyFont="1" applyBorder="1"/>
    <xf numFmtId="169" fontId="8" fillId="3" borderId="23" xfId="0" applyNumberFormat="1" applyFont="1" applyFill="1" applyBorder="1"/>
    <xf numFmtId="4" fontId="1" fillId="3" borderId="1" xfId="0" applyNumberFormat="1" applyFont="1" applyFill="1" applyBorder="1"/>
    <xf numFmtId="0" fontId="0" fillId="0" borderId="0" xfId="0" applyFont="1"/>
    <xf numFmtId="4" fontId="1" fillId="0" borderId="22" xfId="0" applyNumberFormat="1" applyFont="1" applyBorder="1"/>
    <xf numFmtId="165" fontId="1" fillId="0" borderId="3" xfId="0" applyNumberFormat="1" applyFont="1" applyBorder="1"/>
    <xf numFmtId="171" fontId="0" fillId="0" borderId="11" xfId="0" applyNumberFormat="1" applyFont="1" applyBorder="1"/>
    <xf numFmtId="171" fontId="0" fillId="0" borderId="12" xfId="0" applyNumberFormat="1" applyFont="1" applyBorder="1"/>
    <xf numFmtId="171" fontId="0" fillId="0" borderId="1" xfId="0" applyNumberFormat="1" applyFont="1" applyBorder="1"/>
    <xf numFmtId="171" fontId="0" fillId="0" borderId="14" xfId="0" applyNumberFormat="1" applyFont="1" applyBorder="1"/>
    <xf numFmtId="171" fontId="0" fillId="0" borderId="14" xfId="0" applyNumberFormat="1" applyFont="1" applyFill="1" applyBorder="1"/>
    <xf numFmtId="0" fontId="0" fillId="0" borderId="13" xfId="0" applyFont="1" applyFill="1" applyBorder="1" applyAlignment="1">
      <alignment horizontal="center" vertical="center" wrapText="1"/>
    </xf>
    <xf numFmtId="171" fontId="0" fillId="0" borderId="1" xfId="0" applyNumberFormat="1" applyFont="1" applyFill="1" applyBorder="1"/>
    <xf numFmtId="169" fontId="8" fillId="0" borderId="3" xfId="0" applyNumberFormat="1" applyFont="1" applyBorder="1"/>
    <xf numFmtId="3" fontId="0" fillId="0" borderId="0" xfId="0" applyNumberFormat="1"/>
    <xf numFmtId="0" fontId="8" fillId="2" borderId="0" xfId="1" applyFont="1" applyFill="1" applyBorder="1"/>
    <xf numFmtId="169" fontId="8" fillId="11" borderId="3" xfId="0" applyNumberFormat="1" applyFont="1" applyFill="1" applyBorder="1"/>
    <xf numFmtId="166" fontId="1" fillId="1" borderId="1" xfId="0" applyNumberFormat="1" applyFont="1" applyFill="1" applyBorder="1"/>
    <xf numFmtId="165" fontId="8" fillId="0" borderId="3" xfId="0" applyNumberFormat="1" applyFont="1" applyBorder="1"/>
    <xf numFmtId="170" fontId="8" fillId="10" borderId="1" xfId="0" applyNumberFormat="1" applyFont="1" applyFill="1" applyBorder="1"/>
    <xf numFmtId="165" fontId="8" fillId="1" borderId="20" xfId="0" applyNumberFormat="1" applyFont="1" applyFill="1" applyBorder="1"/>
    <xf numFmtId="3" fontId="8" fillId="8" borderId="3" xfId="0" applyNumberFormat="1" applyFont="1" applyFill="1" applyBorder="1"/>
    <xf numFmtId="0" fontId="8" fillId="0" borderId="3" xfId="0" applyFont="1" applyBorder="1"/>
    <xf numFmtId="169" fontId="8" fillId="0" borderId="0" xfId="0" applyNumberFormat="1" applyFont="1" applyBorder="1"/>
    <xf numFmtId="169" fontId="8" fillId="0" borderId="26" xfId="0" applyNumberFormat="1" applyFont="1" applyBorder="1"/>
    <xf numFmtId="169" fontId="8" fillId="0" borderId="27" xfId="0" applyNumberFormat="1" applyFont="1" applyBorder="1"/>
    <xf numFmtId="166" fontId="1" fillId="0" borderId="1" xfId="0" applyNumberFormat="1" applyFont="1" applyFill="1" applyBorder="1"/>
    <xf numFmtId="0" fontId="8" fillId="2" borderId="1" xfId="0" applyFont="1" applyFill="1" applyBorder="1" applyAlignment="1">
      <alignment wrapText="1"/>
    </xf>
    <xf numFmtId="4" fontId="1" fillId="0" borderId="20" xfId="0" applyNumberFormat="1" applyFont="1" applyBorder="1"/>
    <xf numFmtId="4" fontId="1" fillId="0" borderId="2" xfId="0" applyNumberFormat="1" applyFont="1" applyBorder="1"/>
    <xf numFmtId="4" fontId="1" fillId="0" borderId="33" xfId="0" applyNumberFormat="1" applyFont="1" applyBorder="1"/>
    <xf numFmtId="171" fontId="0" fillId="0" borderId="9" xfId="0" applyNumberFormat="1" applyFont="1" applyFill="1" applyBorder="1"/>
    <xf numFmtId="0" fontId="2" fillId="0" borderId="4" xfId="0" applyFont="1" applyBorder="1"/>
    <xf numFmtId="0" fontId="2" fillId="0" borderId="6" xfId="0" applyFont="1" applyBorder="1"/>
    <xf numFmtId="0" fontId="2" fillId="0" borderId="5" xfId="0" applyFont="1" applyBorder="1"/>
    <xf numFmtId="171" fontId="0" fillId="0" borderId="8" xfId="0" applyNumberFormat="1" applyFont="1" applyFill="1" applyBorder="1"/>
    <xf numFmtId="172" fontId="0" fillId="0" borderId="0" xfId="0" applyNumberFormat="1"/>
    <xf numFmtId="165" fontId="0" fillId="0" borderId="1" xfId="0" applyNumberFormat="1" applyFont="1" applyFill="1" applyBorder="1"/>
    <xf numFmtId="165" fontId="1" fillId="0" borderId="1" xfId="0" applyNumberFormat="1" applyFont="1" applyFill="1" applyBorder="1"/>
    <xf numFmtId="0" fontId="0" fillId="0" borderId="0" xfId="0" applyAlignment="1">
      <alignment wrapText="1"/>
    </xf>
    <xf numFmtId="0" fontId="2" fillId="2" borderId="0" xfId="0" applyFont="1" applyFill="1"/>
    <xf numFmtId="0" fontId="2" fillId="0" borderId="0" xfId="0" applyFont="1" applyAlignment="1"/>
    <xf numFmtId="4" fontId="0" fillId="0" borderId="0" xfId="0" applyNumberFormat="1"/>
    <xf numFmtId="170" fontId="0" fillId="0" borderId="0" xfId="0" applyNumberFormat="1"/>
    <xf numFmtId="0" fontId="2" fillId="0" borderId="0" xfId="0" applyFont="1" applyAlignment="1">
      <alignment wrapText="1"/>
    </xf>
    <xf numFmtId="0" fontId="0" fillId="0" borderId="18" xfId="0" applyBorder="1" applyAlignment="1">
      <alignment wrapText="1"/>
    </xf>
    <xf numFmtId="0" fontId="0" fillId="0" borderId="15" xfId="0" applyBorder="1"/>
    <xf numFmtId="0" fontId="0" fillId="0" borderId="34" xfId="0" applyBorder="1"/>
    <xf numFmtId="0" fontId="0" fillId="0" borderId="34" xfId="0" applyBorder="1" applyAlignment="1">
      <alignment wrapText="1"/>
    </xf>
    <xf numFmtId="4" fontId="0" fillId="0" borderId="18" xfId="0" applyNumberFormat="1" applyBorder="1"/>
    <xf numFmtId="3" fontId="0" fillId="0" borderId="18" xfId="0" applyNumberFormat="1" applyBorder="1"/>
    <xf numFmtId="170" fontId="0" fillId="0" borderId="18" xfId="0" applyNumberFormat="1" applyBorder="1"/>
    <xf numFmtId="0" fontId="0" fillId="0" borderId="0" xfId="0" applyAlignment="1">
      <alignment horizontal="left" indent="1"/>
    </xf>
    <xf numFmtId="0" fontId="7" fillId="0" borderId="0" xfId="0" applyFont="1" applyFill="1" applyBorder="1" applyAlignment="1"/>
    <xf numFmtId="170" fontId="0" fillId="0" borderId="0" xfId="0" applyNumberFormat="1" applyFill="1"/>
    <xf numFmtId="165" fontId="0" fillId="0" borderId="0" xfId="0" applyNumberFormat="1"/>
    <xf numFmtId="165" fontId="0" fillId="0" borderId="18" xfId="0" applyNumberFormat="1" applyBorder="1"/>
    <xf numFmtId="0" fontId="0" fillId="0" borderId="0" xfId="0" applyFill="1" applyBorder="1"/>
    <xf numFmtId="0" fontId="0" fillId="2" borderId="1" xfId="0" applyFont="1" applyFill="1" applyBorder="1" applyAlignment="1">
      <alignment horizontal="left" vertical="center" wrapText="1"/>
    </xf>
    <xf numFmtId="4" fontId="0" fillId="0" borderId="3" xfId="0" applyNumberFormat="1" applyBorder="1"/>
    <xf numFmtId="170" fontId="0" fillId="0" borderId="3" xfId="0" applyNumberFormat="1" applyBorder="1"/>
    <xf numFmtId="165" fontId="0" fillId="0" borderId="3" xfId="0" applyNumberFormat="1" applyBorder="1"/>
    <xf numFmtId="165" fontId="0" fillId="0" borderId="2" xfId="0" applyNumberFormat="1" applyFont="1" applyFill="1" applyBorder="1"/>
    <xf numFmtId="165" fontId="1" fillId="3" borderId="2" xfId="0" applyNumberFormat="1" applyFont="1" applyFill="1" applyBorder="1"/>
    <xf numFmtId="0" fontId="0" fillId="0" borderId="1" xfId="0" applyBorder="1"/>
    <xf numFmtId="0" fontId="0" fillId="2" borderId="34" xfId="0" applyFill="1" applyBorder="1" applyAlignment="1">
      <alignment wrapText="1"/>
    </xf>
    <xf numFmtId="0" fontId="0" fillId="2" borderId="34" xfId="0" applyFill="1" applyBorder="1"/>
    <xf numFmtId="0" fontId="0" fillId="0" borderId="0" xfId="0"/>
    <xf numFmtId="0" fontId="0" fillId="0" borderId="0" xfId="0" applyAlignment="1">
      <alignment wrapText="1"/>
    </xf>
    <xf numFmtId="0" fontId="0" fillId="0" borderId="18" xfId="0" applyBorder="1" applyAlignment="1">
      <alignment wrapText="1"/>
    </xf>
    <xf numFmtId="0" fontId="0" fillId="0" borderId="34" xfId="0" applyBorder="1" applyAlignment="1">
      <alignment wrapText="1"/>
    </xf>
    <xf numFmtId="0" fontId="0" fillId="0" borderId="0" xfId="0" applyBorder="1"/>
    <xf numFmtId="4" fontId="0" fillId="0" borderId="0" xfId="0" applyNumberFormat="1" applyBorder="1"/>
    <xf numFmtId="3" fontId="0" fillId="0" borderId="0" xfId="0" applyNumberFormat="1" applyBorder="1"/>
    <xf numFmtId="170" fontId="0" fillId="0" borderId="0" xfId="0" applyNumberFormat="1" applyBorder="1"/>
    <xf numFmtId="4" fontId="0" fillId="0" borderId="0" xfId="0" applyNumberFormat="1" applyFill="1" applyBorder="1"/>
    <xf numFmtId="3" fontId="0" fillId="0" borderId="0" xfId="0" applyNumberFormat="1" applyFill="1" applyBorder="1"/>
    <xf numFmtId="165" fontId="0" fillId="0" borderId="0" xfId="0" applyNumberFormat="1" applyBorder="1"/>
    <xf numFmtId="165" fontId="0" fillId="0" borderId="0" xfId="0" applyNumberFormat="1" applyFill="1" applyBorder="1"/>
    <xf numFmtId="170" fontId="0" fillId="0" borderId="0" xfId="0" applyNumberFormat="1" applyFill="1" applyBorder="1"/>
    <xf numFmtId="0" fontId="2" fillId="0" borderId="2" xfId="0" applyFont="1" applyBorder="1"/>
    <xf numFmtId="0" fontId="2" fillId="0" borderId="15" xfId="0" applyFont="1" applyBorder="1"/>
    <xf numFmtId="0" fontId="0" fillId="0" borderId="2" xfId="0" applyBorder="1"/>
    <xf numFmtId="0" fontId="2" fillId="0" borderId="2" xfId="0" applyFont="1" applyFill="1" applyBorder="1"/>
    <xf numFmtId="0" fontId="2" fillId="0" borderId="15" xfId="0" applyFont="1" applyFill="1" applyBorder="1"/>
    <xf numFmtId="174" fontId="0" fillId="0" borderId="20" xfId="0" applyNumberFormat="1" applyBorder="1"/>
    <xf numFmtId="174" fontId="2" fillId="0" borderId="20" xfId="0" applyNumberFormat="1" applyFont="1" applyBorder="1"/>
    <xf numFmtId="175" fontId="0" fillId="0" borderId="2" xfId="0" applyNumberFormat="1" applyBorder="1"/>
    <xf numFmtId="175" fontId="2" fillId="0" borderId="2" xfId="0" applyNumberFormat="1" applyFont="1" applyBorder="1"/>
    <xf numFmtId="174" fontId="27" fillId="0" borderId="1" xfId="0" applyNumberFormat="1" applyFont="1" applyBorder="1"/>
    <xf numFmtId="174" fontId="28" fillId="0" borderId="1" xfId="0" applyNumberFormat="1" applyFont="1" applyBorder="1"/>
    <xf numFmtId="0" fontId="28" fillId="0" borderId="1" xfId="0" applyFont="1" applyFill="1" applyBorder="1" applyAlignment="1">
      <alignment horizontal="right" wrapText="1"/>
    </xf>
    <xf numFmtId="0" fontId="0" fillId="0" borderId="2" xfId="0" applyBorder="1" applyAlignment="1">
      <alignment horizontal="left" indent="1"/>
    </xf>
    <xf numFmtId="0" fontId="2" fillId="0" borderId="0" xfId="0" applyFont="1" applyFill="1" applyBorder="1"/>
    <xf numFmtId="0" fontId="2" fillId="0" borderId="1" xfId="0" applyFont="1" applyFill="1" applyBorder="1" applyAlignment="1">
      <alignment horizontal="right"/>
    </xf>
    <xf numFmtId="0" fontId="2" fillId="0" borderId="1" xfId="0" applyFont="1" applyFill="1" applyBorder="1"/>
    <xf numFmtId="10" fontId="0" fillId="0" borderId="1" xfId="0" applyNumberFormat="1" applyBorder="1"/>
    <xf numFmtId="10" fontId="0" fillId="3" borderId="1" xfId="0" applyNumberFormat="1" applyFill="1" applyBorder="1"/>
    <xf numFmtId="10" fontId="0" fillId="3" borderId="2" xfId="0" applyNumberFormat="1" applyFill="1" applyBorder="1"/>
    <xf numFmtId="10" fontId="0" fillId="0" borderId="33" xfId="0" applyNumberFormat="1" applyBorder="1"/>
    <xf numFmtId="10" fontId="0" fillId="0" borderId="20" xfId="0" applyNumberFormat="1" applyBorder="1"/>
    <xf numFmtId="0" fontId="27" fillId="0" borderId="0" xfId="0" applyFont="1"/>
    <xf numFmtId="173" fontId="27" fillId="0" borderId="0" xfId="0" applyNumberFormat="1" applyFont="1" applyAlignment="1">
      <alignment horizontal="right"/>
    </xf>
    <xf numFmtId="0" fontId="0" fillId="0" borderId="0" xfId="0" applyFill="1"/>
    <xf numFmtId="0" fontId="0" fillId="0" borderId="0" xfId="0" applyAlignment="1">
      <alignment wrapText="1"/>
    </xf>
    <xf numFmtId="0" fontId="0" fillId="0" borderId="18" xfId="0" applyBorder="1" applyAlignment="1">
      <alignment wrapText="1"/>
    </xf>
    <xf numFmtId="0" fontId="0" fillId="0" borderId="0" xfId="0"/>
    <xf numFmtId="0" fontId="0" fillId="0" borderId="18" xfId="0" applyBorder="1"/>
    <xf numFmtId="0" fontId="0" fillId="2" borderId="34" xfId="0" applyFill="1" applyBorder="1" applyAlignment="1">
      <alignment wrapText="1"/>
    </xf>
    <xf numFmtId="4" fontId="0" fillId="0" borderId="1" xfId="0" applyNumberFormat="1" applyFont="1" applyFill="1" applyBorder="1"/>
    <xf numFmtId="0" fontId="0" fillId="2" borderId="1" xfId="0" applyFont="1" applyFill="1" applyBorder="1" applyAlignment="1">
      <alignment horizontal="center"/>
    </xf>
    <xf numFmtId="0" fontId="0" fillId="2" borderId="2" xfId="0" applyFont="1" applyFill="1" applyBorder="1" applyAlignment="1">
      <alignment horizontal="left" vertical="center"/>
    </xf>
    <xf numFmtId="165" fontId="1" fillId="0" borderId="22" xfId="0" applyNumberFormat="1" applyFont="1" applyBorder="1"/>
    <xf numFmtId="165" fontId="0" fillId="0" borderId="1" xfId="0" applyNumberFormat="1" applyFont="1" applyFill="1" applyBorder="1" applyAlignment="1">
      <alignment wrapText="1"/>
    </xf>
    <xf numFmtId="0" fontId="2" fillId="0" borderId="0" xfId="0" applyFont="1" applyFill="1"/>
    <xf numFmtId="165" fontId="1" fillId="0" borderId="23" xfId="0" applyNumberFormat="1" applyFont="1" applyBorder="1"/>
    <xf numFmtId="0" fontId="13" fillId="0" borderId="0" xfId="0" applyFont="1"/>
    <xf numFmtId="168" fontId="2" fillId="0" borderId="9" xfId="0" applyNumberFormat="1" applyFont="1" applyBorder="1" applyAlignment="1">
      <alignment horizontal="center" wrapText="1"/>
    </xf>
    <xf numFmtId="176" fontId="0" fillId="3" borderId="11" xfId="0" applyNumberFormat="1" applyFont="1" applyFill="1" applyBorder="1"/>
    <xf numFmtId="176" fontId="0" fillId="3" borderId="12" xfId="0" applyNumberFormat="1" applyFont="1" applyFill="1" applyBorder="1"/>
    <xf numFmtId="0" fontId="0" fillId="0" borderId="7" xfId="0" applyFont="1" applyBorder="1" applyAlignment="1">
      <alignment horizontal="center" vertical="center"/>
    </xf>
    <xf numFmtId="0" fontId="0" fillId="0" borderId="0" xfId="0" applyAlignment="1">
      <alignment wrapText="1"/>
    </xf>
    <xf numFmtId="0" fontId="0" fillId="0" borderId="0" xfId="0"/>
    <xf numFmtId="0" fontId="0" fillId="0" borderId="34" xfId="0" applyBorder="1" applyAlignment="1">
      <alignment wrapText="1"/>
    </xf>
    <xf numFmtId="0" fontId="0" fillId="0" borderId="0" xfId="0"/>
    <xf numFmtId="0" fontId="0" fillId="0" borderId="34" xfId="0" applyFill="1" applyBorder="1" applyAlignment="1">
      <alignment wrapText="1"/>
    </xf>
    <xf numFmtId="177" fontId="7" fillId="0" borderId="0" xfId="0" applyNumberFormat="1" applyFont="1" applyFill="1" applyBorder="1"/>
    <xf numFmtId="10" fontId="0" fillId="0" borderId="29" xfId="0" applyNumberFormat="1" applyBorder="1"/>
    <xf numFmtId="10" fontId="27" fillId="3" borderId="1" xfId="0" applyNumberFormat="1" applyFont="1" applyFill="1" applyBorder="1"/>
    <xf numFmtId="10" fontId="27" fillId="3" borderId="2" xfId="0" applyNumberFormat="1" applyFont="1" applyFill="1" applyBorder="1"/>
    <xf numFmtId="10" fontId="27" fillId="0" borderId="33" xfId="0" applyNumberFormat="1" applyFont="1" applyBorder="1"/>
    <xf numFmtId="10" fontId="27" fillId="0" borderId="20" xfId="0" applyNumberFormat="1" applyFont="1" applyBorder="1"/>
    <xf numFmtId="10" fontId="27" fillId="0" borderId="1" xfId="0" applyNumberFormat="1" applyFont="1" applyBorder="1"/>
    <xf numFmtId="0" fontId="27" fillId="0" borderId="2" xfId="0" applyFont="1" applyBorder="1" applyAlignment="1">
      <alignment horizontal="left" indent="1"/>
    </xf>
    <xf numFmtId="10" fontId="0" fillId="0" borderId="0" xfId="0" applyNumberFormat="1"/>
    <xf numFmtId="0" fontId="0" fillId="0" borderId="0" xfId="0"/>
    <xf numFmtId="0" fontId="27" fillId="0" borderId="21" xfId="0" applyFont="1" applyBorder="1"/>
    <xf numFmtId="10" fontId="27" fillId="0" borderId="29" xfId="0" applyNumberFormat="1" applyFont="1" applyBorder="1"/>
    <xf numFmtId="10" fontId="27" fillId="0" borderId="33" xfId="0" applyNumberFormat="1" applyFont="1" applyFill="1" applyBorder="1"/>
    <xf numFmtId="10" fontId="1" fillId="0" borderId="1" xfId="0" applyNumberFormat="1" applyFont="1" applyBorder="1"/>
    <xf numFmtId="0" fontId="0" fillId="3" borderId="1" xfId="0" applyFont="1" applyFill="1" applyBorder="1" applyAlignment="1">
      <alignment horizontal="left" vertical="center" indent="1"/>
    </xf>
    <xf numFmtId="0" fontId="0" fillId="0" borderId="0" xfId="0"/>
    <xf numFmtId="165" fontId="7" fillId="0" borderId="1" xfId="0" applyNumberFormat="1" applyFont="1" applyBorder="1" applyAlignment="1">
      <alignment vertical="center"/>
    </xf>
    <xf numFmtId="0" fontId="0" fillId="0" borderId="0" xfId="0"/>
    <xf numFmtId="0" fontId="0" fillId="0" borderId="0" xfId="0"/>
    <xf numFmtId="0" fontId="0" fillId="0" borderId="38" xfId="0" applyFont="1" applyBorder="1" applyAlignment="1">
      <alignment horizontal="center" vertical="center" wrapText="1"/>
    </xf>
    <xf numFmtId="171" fontId="0" fillId="0" borderId="39" xfId="0" applyNumberFormat="1" applyFont="1" applyBorder="1"/>
    <xf numFmtId="171" fontId="0" fillId="0" borderId="40" xfId="0" applyNumberFormat="1" applyFont="1" applyBorder="1"/>
    <xf numFmtId="171" fontId="0" fillId="0" borderId="8" xfId="0" applyNumberFormat="1" applyFont="1" applyBorder="1"/>
    <xf numFmtId="0" fontId="1" fillId="2" borderId="1" xfId="0" applyFont="1" applyFill="1" applyBorder="1" applyAlignment="1">
      <alignment horizontal="left" vertical="center"/>
    </xf>
    <xf numFmtId="0" fontId="8" fillId="2" borderId="1" xfId="1" applyFont="1" applyFill="1" applyBorder="1" applyAlignment="1">
      <alignment horizontal="center" vertical="center"/>
    </xf>
    <xf numFmtId="0" fontId="8" fillId="2" borderId="1" xfId="1" applyFont="1" applyFill="1" applyBorder="1" applyAlignment="1">
      <alignment horizontal="center" vertical="center" wrapText="1"/>
    </xf>
    <xf numFmtId="165" fontId="0" fillId="3" borderId="1" xfId="0" applyNumberFormat="1" applyFont="1" applyFill="1" applyBorder="1"/>
    <xf numFmtId="2" fontId="29" fillId="0" borderId="43" xfId="1" applyNumberFormat="1" applyFont="1" applyFill="1" applyBorder="1" applyAlignment="1">
      <alignment horizontal="left" vertical="center" indent="1"/>
    </xf>
    <xf numFmtId="165" fontId="27" fillId="3" borderId="43" xfId="0" applyNumberFormat="1" applyFont="1" applyFill="1" applyBorder="1"/>
    <xf numFmtId="2" fontId="13" fillId="0" borderId="0" xfId="1" applyNumberFormat="1" applyFont="1" applyFill="1" applyBorder="1" applyAlignment="1">
      <alignment horizontal="left" vertical="center"/>
    </xf>
    <xf numFmtId="168" fontId="7" fillId="0" borderId="1" xfId="0" applyNumberFormat="1" applyFont="1" applyBorder="1" applyAlignment="1">
      <alignment vertical="center"/>
    </xf>
    <xf numFmtId="0" fontId="8" fillId="0" borderId="1" xfId="0" applyFont="1" applyFill="1" applyBorder="1" applyAlignment="1">
      <alignment wrapText="1"/>
    </xf>
    <xf numFmtId="171" fontId="27" fillId="0" borderId="47" xfId="0" applyNumberFormat="1" applyFont="1" applyFill="1" applyBorder="1"/>
    <xf numFmtId="171" fontId="27" fillId="0" borderId="48" xfId="0" applyNumberFormat="1" applyFont="1" applyFill="1" applyBorder="1"/>
    <xf numFmtId="0" fontId="0" fillId="0" borderId="10" xfId="0" applyFont="1" applyFill="1" applyBorder="1" applyAlignment="1">
      <alignment horizontal="center" vertical="center" wrapText="1"/>
    </xf>
    <xf numFmtId="171" fontId="0" fillId="0" borderId="11" xfId="0" applyNumberFormat="1" applyFont="1" applyFill="1" applyBorder="1"/>
    <xf numFmtId="171" fontId="0" fillId="0" borderId="12" xfId="0" applyNumberFormat="1" applyFont="1" applyFill="1" applyBorder="1"/>
    <xf numFmtId="2" fontId="8" fillId="0" borderId="29" xfId="1" applyNumberFormat="1" applyFont="1" applyFill="1" applyBorder="1" applyAlignment="1">
      <alignment horizontal="left" vertical="center"/>
    </xf>
    <xf numFmtId="165" fontId="0" fillId="3" borderId="29" xfId="0" applyNumberFormat="1" applyFont="1" applyFill="1" applyBorder="1"/>
    <xf numFmtId="165" fontId="1" fillId="3" borderId="29" xfId="0" applyNumberFormat="1" applyFont="1" applyFill="1" applyBorder="1"/>
    <xf numFmtId="2" fontId="29" fillId="0" borderId="30" xfId="1" applyNumberFormat="1" applyFont="1" applyFill="1" applyBorder="1" applyAlignment="1">
      <alignment horizontal="left" vertical="center" indent="1"/>
    </xf>
    <xf numFmtId="165" fontId="27" fillId="3" borderId="30" xfId="0" applyNumberFormat="1" applyFont="1" applyFill="1" applyBorder="1"/>
    <xf numFmtId="2" fontId="29" fillId="0" borderId="49" xfId="1" applyNumberFormat="1" applyFont="1" applyFill="1" applyBorder="1" applyAlignment="1">
      <alignment horizontal="left" vertical="center" indent="1"/>
    </xf>
    <xf numFmtId="165" fontId="27" fillId="3" borderId="49" xfId="0" applyNumberFormat="1" applyFont="1" applyFill="1" applyBorder="1"/>
    <xf numFmtId="0" fontId="2" fillId="0" borderId="4" xfId="0" applyFont="1" applyFill="1" applyBorder="1"/>
    <xf numFmtId="0" fontId="2" fillId="0" borderId="5" xfId="0" applyFont="1" applyFill="1" applyBorder="1"/>
    <xf numFmtId="0" fontId="2" fillId="0" borderId="6" xfId="0" applyFont="1" applyFill="1" applyBorder="1"/>
    <xf numFmtId="0" fontId="2" fillId="0" borderId="7" xfId="0" applyFont="1" applyFill="1" applyBorder="1" applyAlignment="1">
      <alignment horizontal="center"/>
    </xf>
    <xf numFmtId="168" fontId="2" fillId="0" borderId="8" xfId="0" applyNumberFormat="1" applyFont="1" applyFill="1" applyBorder="1" applyAlignment="1">
      <alignment horizontal="center"/>
    </xf>
    <xf numFmtId="168" fontId="2" fillId="0" borderId="9" xfId="0" applyNumberFormat="1" applyFont="1" applyFill="1" applyBorder="1" applyAlignment="1">
      <alignment horizontal="center"/>
    </xf>
    <xf numFmtId="0" fontId="27" fillId="0" borderId="44" xfId="0" applyFont="1" applyFill="1" applyBorder="1" applyAlignment="1">
      <alignment horizontal="center" vertical="center" wrapText="1"/>
    </xf>
    <xf numFmtId="171" fontId="27" fillId="0" borderId="41" xfId="0" applyNumberFormat="1" applyFont="1" applyFill="1" applyBorder="1"/>
    <xf numFmtId="171" fontId="27" fillId="0" borderId="45" xfId="0" applyNumberFormat="1" applyFont="1" applyFill="1" applyBorder="1"/>
    <xf numFmtId="0" fontId="27" fillId="0" borderId="46" xfId="0" applyFont="1" applyFill="1" applyBorder="1" applyAlignment="1">
      <alignment horizontal="center" vertical="center" wrapText="1"/>
    </xf>
    <xf numFmtId="0" fontId="13" fillId="0" borderId="0" xfId="0" applyFont="1" applyFill="1"/>
    <xf numFmtId="0" fontId="2" fillId="0" borderId="19" xfId="0" applyFont="1" applyFill="1" applyBorder="1"/>
    <xf numFmtId="168" fontId="2" fillId="0" borderId="16" xfId="0" applyNumberFormat="1" applyFont="1" applyFill="1" applyBorder="1" applyAlignment="1">
      <alignment horizontal="center"/>
    </xf>
    <xf numFmtId="168" fontId="2" fillId="0" borderId="17" xfId="0" applyNumberFormat="1" applyFont="1" applyFill="1" applyBorder="1" applyAlignment="1">
      <alignment horizontal="center"/>
    </xf>
    <xf numFmtId="0" fontId="0" fillId="0" borderId="10" xfId="0" applyFont="1" applyFill="1" applyBorder="1"/>
    <xf numFmtId="0" fontId="0" fillId="0" borderId="7" xfId="0" applyFont="1" applyFill="1" applyBorder="1"/>
    <xf numFmtId="168" fontId="0" fillId="0" borderId="16" xfId="0" applyNumberFormat="1" applyFont="1" applyFill="1" applyBorder="1"/>
    <xf numFmtId="168" fontId="0" fillId="0" borderId="17" xfId="0" applyNumberFormat="1" applyFont="1" applyFill="1" applyBorder="1"/>
    <xf numFmtId="0" fontId="0" fillId="2" borderId="29" xfId="0" applyFont="1" applyFill="1" applyBorder="1" applyAlignment="1">
      <alignment horizontal="center" vertical="center"/>
    </xf>
    <xf numFmtId="0" fontId="0" fillId="2" borderId="11" xfId="0" applyFont="1" applyFill="1" applyBorder="1" applyAlignment="1">
      <alignment horizontal="center" vertical="center"/>
    </xf>
    <xf numFmtId="4" fontId="30" fillId="0" borderId="1" xfId="0" applyNumberFormat="1" applyFont="1" applyFill="1" applyBorder="1"/>
    <xf numFmtId="4" fontId="30" fillId="3" borderId="1" xfId="0" applyNumberFormat="1" applyFont="1" applyFill="1" applyBorder="1"/>
    <xf numFmtId="0" fontId="0" fillId="2" borderId="1" xfId="0" applyFont="1" applyFill="1" applyBorder="1"/>
    <xf numFmtId="0" fontId="1" fillId="2" borderId="1" xfId="0" applyFont="1" applyFill="1" applyBorder="1" applyAlignment="1">
      <alignment horizontal="left" vertical="top" wrapText="1"/>
    </xf>
    <xf numFmtId="4" fontId="30" fillId="0" borderId="22" xfId="0" applyNumberFormat="1" applyFont="1" applyFill="1" applyBorder="1"/>
    <xf numFmtId="4" fontId="30" fillId="0" borderId="23" xfId="0" applyNumberFormat="1" applyFont="1" applyFill="1" applyBorder="1"/>
    <xf numFmtId="0" fontId="1" fillId="2" borderId="1" xfId="0" applyFont="1" applyFill="1" applyBorder="1"/>
    <xf numFmtId="0" fontId="0" fillId="2" borderId="41" xfId="0" applyFont="1" applyFill="1" applyBorder="1"/>
    <xf numFmtId="0" fontId="1" fillId="2" borderId="41" xfId="0" applyFont="1" applyFill="1" applyBorder="1" applyAlignment="1">
      <alignment horizontal="left" vertical="top" wrapText="1"/>
    </xf>
    <xf numFmtId="4" fontId="30" fillId="3" borderId="41" xfId="0" applyNumberFormat="1" applyFont="1" applyFill="1" applyBorder="1"/>
    <xf numFmtId="4" fontId="30" fillId="0" borderId="52" xfId="0" applyNumberFormat="1" applyFont="1" applyFill="1" applyBorder="1"/>
    <xf numFmtId="4" fontId="30" fillId="0" borderId="53" xfId="0" applyNumberFormat="1" applyFont="1" applyFill="1" applyBorder="1"/>
    <xf numFmtId="4" fontId="30" fillId="0" borderId="41" xfId="0" applyNumberFormat="1" applyFont="1" applyFill="1" applyBorder="1"/>
    <xf numFmtId="0" fontId="0" fillId="2" borderId="43" xfId="0" applyFont="1" applyFill="1" applyBorder="1"/>
    <xf numFmtId="0" fontId="1" fillId="2" borderId="43" xfId="0" applyFont="1" applyFill="1" applyBorder="1" applyAlignment="1">
      <alignment horizontal="left" vertical="top" wrapText="1"/>
    </xf>
    <xf numFmtId="4" fontId="30" fillId="3" borderId="43" xfId="0" applyNumberFormat="1" applyFont="1" applyFill="1" applyBorder="1"/>
    <xf numFmtId="4" fontId="30" fillId="0" borderId="54" xfId="0" applyNumberFormat="1" applyFont="1" applyFill="1" applyBorder="1"/>
    <xf numFmtId="4" fontId="30" fillId="0" borderId="55" xfId="0" applyNumberFormat="1" applyFont="1" applyFill="1" applyBorder="1"/>
    <xf numFmtId="4" fontId="30" fillId="0" borderId="43" xfId="0" applyNumberFormat="1" applyFont="1" applyFill="1" applyBorder="1"/>
    <xf numFmtId="0" fontId="0" fillId="2" borderId="30" xfId="0" applyFont="1" applyFill="1" applyBorder="1" applyAlignment="1">
      <alignment horizontal="center" vertical="center"/>
    </xf>
    <xf numFmtId="0" fontId="0" fillId="2" borderId="58"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58" xfId="0" applyFont="1" applyFill="1" applyBorder="1" applyAlignment="1">
      <alignment horizontal="center" vertical="center" shrinkToFit="1"/>
    </xf>
    <xf numFmtId="0" fontId="0" fillId="2" borderId="60" xfId="0" applyFont="1" applyFill="1" applyBorder="1" applyAlignment="1">
      <alignment horizontal="center" vertical="center"/>
    </xf>
    <xf numFmtId="0" fontId="0" fillId="2" borderId="11" xfId="0" applyFont="1" applyFill="1" applyBorder="1" applyAlignment="1">
      <alignment horizontal="center" vertical="center" shrinkToFit="1"/>
    </xf>
    <xf numFmtId="0" fontId="0" fillId="0" borderId="50" xfId="0" applyFont="1" applyFill="1" applyBorder="1"/>
    <xf numFmtId="170" fontId="30" fillId="0" borderId="29" xfId="0" applyNumberFormat="1" applyFont="1" applyFill="1" applyBorder="1"/>
    <xf numFmtId="170" fontId="30" fillId="0" borderId="61" xfId="0" applyNumberFormat="1" applyFont="1" applyFill="1" applyBorder="1"/>
    <xf numFmtId="170" fontId="30" fillId="0" borderId="62" xfId="0" applyNumberFormat="1" applyFont="1" applyFill="1" applyBorder="1"/>
    <xf numFmtId="3" fontId="30" fillId="0" borderId="61" xfId="0" applyNumberFormat="1" applyFont="1" applyFill="1" applyBorder="1"/>
    <xf numFmtId="3" fontId="30" fillId="0" borderId="63" xfId="0" applyNumberFormat="1" applyFont="1" applyFill="1" applyBorder="1"/>
    <xf numFmtId="3" fontId="30" fillId="0" borderId="62" xfId="0" applyNumberFormat="1" applyFont="1" applyFill="1" applyBorder="1"/>
    <xf numFmtId="0" fontId="0" fillId="0" borderId="64" xfId="0" applyFont="1" applyFill="1" applyBorder="1"/>
    <xf numFmtId="170" fontId="30" fillId="0" borderId="11" xfId="0" applyNumberFormat="1" applyFont="1" applyFill="1" applyBorder="1"/>
    <xf numFmtId="170" fontId="30" fillId="0" borderId="58" xfId="0" applyNumberFormat="1" applyFont="1" applyFill="1" applyBorder="1"/>
    <xf numFmtId="170" fontId="30" fillId="0" borderId="59" xfId="0" applyNumberFormat="1" applyFont="1" applyFill="1" applyBorder="1"/>
    <xf numFmtId="3" fontId="30" fillId="0" borderId="58" xfId="0" applyNumberFormat="1" applyFont="1" applyFill="1" applyBorder="1"/>
    <xf numFmtId="3" fontId="30" fillId="0" borderId="60" xfId="0" applyNumberFormat="1" applyFont="1" applyFill="1" applyBorder="1"/>
    <xf numFmtId="3" fontId="30" fillId="0" borderId="59" xfId="0" applyNumberFormat="1" applyFont="1" applyFill="1" applyBorder="1"/>
    <xf numFmtId="0" fontId="0" fillId="0" borderId="0" xfId="0" applyFont="1" applyFill="1" applyBorder="1"/>
    <xf numFmtId="0" fontId="0" fillId="2" borderId="42" xfId="0" applyFont="1" applyFill="1" applyBorder="1"/>
    <xf numFmtId="0" fontId="1" fillId="2" borderId="42" xfId="0" applyFont="1" applyFill="1" applyBorder="1" applyAlignment="1">
      <alignment horizontal="left" vertical="top" wrapText="1"/>
    </xf>
    <xf numFmtId="4" fontId="30" fillId="3" borderId="42" xfId="0" applyNumberFormat="1" applyFont="1" applyFill="1" applyBorder="1"/>
    <xf numFmtId="4" fontId="30" fillId="0" borderId="65" xfId="0" applyNumberFormat="1" applyFont="1" applyFill="1" applyBorder="1"/>
    <xf numFmtId="4" fontId="30" fillId="0" borderId="66" xfId="0" applyNumberFormat="1" applyFont="1" applyFill="1" applyBorder="1"/>
    <xf numFmtId="4" fontId="30" fillId="0" borderId="42" xfId="0" applyNumberFormat="1" applyFont="1" applyFill="1" applyBorder="1"/>
    <xf numFmtId="0" fontId="0" fillId="0" borderId="0" xfId="0" applyAlignment="1">
      <alignment wrapText="1"/>
    </xf>
    <xf numFmtId="0" fontId="0" fillId="0" borderId="18" xfId="0" applyBorder="1" applyAlignment="1">
      <alignment wrapText="1"/>
    </xf>
    <xf numFmtId="0" fontId="0" fillId="0" borderId="0" xfId="0"/>
    <xf numFmtId="0" fontId="0" fillId="0" borderId="18" xfId="0" applyBorder="1"/>
    <xf numFmtId="0" fontId="0" fillId="0" borderId="34" xfId="0" applyBorder="1" applyAlignment="1">
      <alignment wrapText="1"/>
    </xf>
    <xf numFmtId="0" fontId="0" fillId="2" borderId="34" xfId="0" applyFill="1" applyBorder="1" applyAlignment="1">
      <alignment wrapText="1"/>
    </xf>
    <xf numFmtId="0" fontId="0" fillId="0" borderId="0" xfId="0"/>
    <xf numFmtId="0" fontId="0" fillId="0" borderId="0" xfId="0"/>
    <xf numFmtId="0" fontId="0" fillId="0" borderId="2" xfId="0" applyFont="1" applyFill="1" applyBorder="1" applyAlignment="1">
      <alignment horizontal="left" vertical="center" indent="1"/>
    </xf>
    <xf numFmtId="2" fontId="8" fillId="0" borderId="1" xfId="1" applyNumberFormat="1" applyFont="1" applyFill="1" applyBorder="1" applyAlignment="1">
      <alignment horizontal="left" vertical="center" wrapText="1"/>
    </xf>
    <xf numFmtId="0" fontId="1" fillId="2" borderId="29" xfId="0" applyFont="1" applyFill="1" applyBorder="1" applyAlignment="1">
      <alignment horizontal="left" vertical="center"/>
    </xf>
    <xf numFmtId="0" fontId="8" fillId="2" borderId="29" xfId="1" applyFont="1" applyFill="1" applyBorder="1" applyAlignment="1">
      <alignment horizontal="center" vertical="center" wrapText="1"/>
    </xf>
    <xf numFmtId="0" fontId="8" fillId="2" borderId="29" xfId="1" applyFont="1" applyFill="1" applyBorder="1" applyAlignment="1">
      <alignment horizontal="center" vertical="center"/>
    </xf>
    <xf numFmtId="2" fontId="8" fillId="0" borderId="30" xfId="1" applyNumberFormat="1" applyFont="1" applyFill="1" applyBorder="1" applyAlignment="1">
      <alignment horizontal="left" vertical="center"/>
    </xf>
    <xf numFmtId="165" fontId="0" fillId="3" borderId="30" xfId="0" applyNumberFormat="1" applyFont="1" applyFill="1" applyBorder="1"/>
    <xf numFmtId="165" fontId="1" fillId="3" borderId="30" xfId="0" applyNumberFormat="1" applyFont="1" applyFill="1" applyBorder="1"/>
    <xf numFmtId="165" fontId="1" fillId="0" borderId="30" xfId="0" applyNumberFormat="1" applyFont="1" applyBorder="1"/>
    <xf numFmtId="0" fontId="8" fillId="2" borderId="15" xfId="1" applyFont="1" applyFill="1" applyBorder="1" applyAlignment="1">
      <alignment horizontal="center" vertical="center" wrapText="1"/>
    </xf>
    <xf numFmtId="0" fontId="8" fillId="2" borderId="15" xfId="1" applyFont="1" applyFill="1" applyBorder="1" applyAlignment="1">
      <alignment horizontal="center" vertical="center"/>
    </xf>
    <xf numFmtId="0" fontId="8" fillId="2" borderId="20" xfId="1"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Fill="1" applyBorder="1" applyAlignment="1">
      <alignment horizontal="left" vertical="center" indent="1"/>
    </xf>
    <xf numFmtId="0" fontId="5" fillId="0" borderId="0" xfId="1" applyFont="1" applyFill="1" applyBorder="1" applyAlignment="1">
      <alignment vertical="center"/>
    </xf>
    <xf numFmtId="0" fontId="8" fillId="2" borderId="2" xfId="1" applyFont="1" applyFill="1" applyBorder="1" applyAlignment="1">
      <alignment horizontal="center" vertical="center"/>
    </xf>
    <xf numFmtId="2" fontId="8" fillId="0" borderId="2" xfId="1" applyNumberFormat="1" applyFont="1" applyFill="1" applyBorder="1" applyAlignment="1">
      <alignment horizontal="left" vertical="center" wrapText="1"/>
    </xf>
    <xf numFmtId="165" fontId="8" fillId="3" borderId="1" xfId="3" applyNumberFormat="1" applyFont="1" applyFill="1" applyBorder="1" applyAlignment="1">
      <alignment vertical="center"/>
    </xf>
    <xf numFmtId="165" fontId="8" fillId="0" borderId="1" xfId="3" applyNumberFormat="1" applyFont="1" applyFill="1" applyBorder="1" applyAlignment="1">
      <alignment vertical="center"/>
    </xf>
    <xf numFmtId="2" fontId="5" fillId="0" borderId="0" xfId="1" applyNumberFormat="1" applyFont="1" applyFill="1" applyBorder="1" applyAlignment="1">
      <alignment horizontal="left" vertical="center"/>
    </xf>
    <xf numFmtId="2" fontId="8" fillId="0" borderId="1" xfId="1" applyNumberFormat="1" applyFont="1" applyFill="1" applyBorder="1" applyAlignment="1">
      <alignment horizontal="left" vertical="center"/>
    </xf>
    <xf numFmtId="0" fontId="30" fillId="0" borderId="0" xfId="0" applyFont="1" applyFill="1" applyBorder="1"/>
    <xf numFmtId="0" fontId="30" fillId="0" borderId="64" xfId="0" applyFont="1" applyFill="1" applyBorder="1"/>
    <xf numFmtId="3" fontId="30" fillId="0" borderId="11" xfId="0" applyNumberFormat="1" applyFont="1" applyFill="1" applyBorder="1" applyAlignment="1">
      <alignment horizontal="right"/>
    </xf>
    <xf numFmtId="4" fontId="30" fillId="0" borderId="11" xfId="0" applyNumberFormat="1" applyFont="1" applyFill="1" applyBorder="1" applyAlignment="1">
      <alignment horizontal="right"/>
    </xf>
    <xf numFmtId="0" fontId="7" fillId="0" borderId="56" xfId="0" applyFont="1" applyFill="1" applyBorder="1"/>
    <xf numFmtId="165" fontId="8" fillId="0" borderId="22" xfId="3" applyNumberFormat="1" applyFont="1" applyFill="1" applyBorder="1" applyAlignment="1">
      <alignment vertical="center"/>
    </xf>
    <xf numFmtId="165" fontId="8" fillId="0" borderId="23" xfId="3" applyNumberFormat="1" applyFont="1" applyFill="1" applyBorder="1" applyAlignment="1">
      <alignment vertical="center"/>
    </xf>
    <xf numFmtId="169" fontId="0" fillId="3" borderId="11" xfId="0" applyNumberFormat="1" applyFont="1" applyFill="1" applyBorder="1"/>
    <xf numFmtId="169" fontId="0" fillId="3" borderId="12" xfId="0" applyNumberFormat="1" applyFont="1" applyFill="1" applyBorder="1"/>
    <xf numFmtId="169" fontId="0" fillId="0" borderId="8" xfId="0" applyNumberFormat="1" applyFont="1" applyBorder="1"/>
    <xf numFmtId="169" fontId="0" fillId="0" borderId="9" xfId="0" applyNumberFormat="1" applyFont="1" applyBorder="1"/>
    <xf numFmtId="2" fontId="8" fillId="0" borderId="2" xfId="1" applyNumberFormat="1" applyFont="1" applyFill="1" applyBorder="1" applyAlignment="1">
      <alignment horizontal="left" vertical="center"/>
    </xf>
    <xf numFmtId="0" fontId="0" fillId="0" borderId="0" xfId="0"/>
    <xf numFmtId="0" fontId="30" fillId="0" borderId="35" xfId="0" applyFont="1" applyFill="1" applyBorder="1" applyAlignment="1">
      <alignment horizontal="left"/>
    </xf>
    <xf numFmtId="0" fontId="1" fillId="2" borderId="29" xfId="0" applyFont="1" applyFill="1" applyBorder="1" applyAlignment="1">
      <alignment horizontal="left" vertical="center"/>
    </xf>
    <xf numFmtId="0" fontId="8" fillId="2" borderId="29"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2" fillId="0" borderId="4" xfId="0" applyFont="1" applyBorder="1" applyAlignment="1"/>
    <xf numFmtId="0" fontId="2" fillId="0" borderId="5" xfId="0" applyFont="1" applyBorder="1" applyAlignment="1"/>
    <xf numFmtId="0" fontId="2" fillId="0" borderId="6" xfId="0" applyFont="1" applyBorder="1" applyAlignment="1"/>
    <xf numFmtId="0" fontId="30" fillId="3" borderId="1" xfId="0" applyFont="1" applyFill="1" applyBorder="1" applyAlignment="1">
      <alignment horizontal="center" vertical="center"/>
    </xf>
    <xf numFmtId="0" fontId="30" fillId="3" borderId="1" xfId="0" applyFont="1" applyFill="1" applyBorder="1" applyAlignment="1">
      <alignment horizontal="center" vertical="center" wrapText="1"/>
    </xf>
    <xf numFmtId="0" fontId="30" fillId="3" borderId="8" xfId="0" applyFont="1" applyFill="1" applyBorder="1" applyAlignment="1">
      <alignment horizontal="center" vertical="center"/>
    </xf>
    <xf numFmtId="0" fontId="30" fillId="3" borderId="8" xfId="0" applyFont="1" applyFill="1" applyBorder="1" applyAlignment="1">
      <alignment horizontal="center" vertical="center" wrapText="1"/>
    </xf>
    <xf numFmtId="0" fontId="0" fillId="0" borderId="0" xfId="0"/>
    <xf numFmtId="3" fontId="8" fillId="0" borderId="1" xfId="3" applyNumberFormat="1" applyFont="1" applyFill="1" applyBorder="1" applyAlignment="1">
      <alignment vertical="center"/>
    </xf>
    <xf numFmtId="3" fontId="8" fillId="3" borderId="1" xfId="3" applyNumberFormat="1" applyFont="1" applyFill="1" applyBorder="1" applyAlignment="1">
      <alignment vertical="center"/>
    </xf>
    <xf numFmtId="2" fontId="8" fillId="0" borderId="50" xfId="1" applyNumberFormat="1" applyFont="1" applyFill="1" applyBorder="1" applyAlignment="1">
      <alignment horizontal="left" vertical="center"/>
    </xf>
    <xf numFmtId="0" fontId="0" fillId="0" borderId="56" xfId="0" applyFont="1" applyFill="1" applyBorder="1" applyAlignment="1"/>
    <xf numFmtId="0" fontId="0" fillId="0" borderId="1" xfId="0" applyFont="1" applyBorder="1" applyAlignment="1">
      <alignment wrapText="1"/>
    </xf>
    <xf numFmtId="3" fontId="8" fillId="0" borderId="0" xfId="3" applyNumberFormat="1" applyFont="1" applyFill="1" applyBorder="1" applyAlignment="1">
      <alignment vertical="center"/>
    </xf>
    <xf numFmtId="0" fontId="0" fillId="0" borderId="0" xfId="0" applyFont="1" applyFill="1" applyBorder="1" applyAlignment="1"/>
    <xf numFmtId="0" fontId="1" fillId="0" borderId="1" xfId="0" applyFont="1" applyBorder="1" applyAlignment="1">
      <alignment wrapText="1"/>
    </xf>
    <xf numFmtId="10" fontId="1" fillId="0" borderId="1" xfId="0" applyNumberFormat="1" applyFont="1" applyBorder="1" applyAlignment="1"/>
    <xf numFmtId="0" fontId="0" fillId="0" borderId="0" xfId="0" applyFont="1" applyFill="1"/>
    <xf numFmtId="0" fontId="0" fillId="2" borderId="11" xfId="0" applyFont="1" applyFill="1" applyBorder="1" applyAlignment="1">
      <alignment horizontal="left" vertical="center"/>
    </xf>
    <xf numFmtId="165" fontId="1" fillId="0" borderId="1" xfId="0" applyNumberFormat="1" applyFont="1" applyBorder="1" applyAlignment="1">
      <alignment horizontal="right"/>
    </xf>
    <xf numFmtId="173" fontId="1" fillId="0" borderId="1" xfId="0" applyNumberFormat="1" applyFont="1" applyBorder="1" applyAlignment="1">
      <alignment horizontal="right"/>
    </xf>
    <xf numFmtId="165" fontId="0" fillId="0" borderId="1" xfId="0" applyNumberFormat="1" applyFont="1" applyFill="1" applyBorder="1" applyAlignment="1">
      <alignment horizontal="right"/>
    </xf>
    <xf numFmtId="0" fontId="0" fillId="3" borderId="1" xfId="0" applyFill="1" applyBorder="1"/>
    <xf numFmtId="0" fontId="0" fillId="2" borderId="1" xfId="0" applyFill="1" applyBorder="1"/>
    <xf numFmtId="0" fontId="0" fillId="2" borderId="1" xfId="0" applyFill="1" applyBorder="1" applyAlignment="1">
      <alignment wrapText="1"/>
    </xf>
    <xf numFmtId="0" fontId="0" fillId="2" borderId="29" xfId="0" applyFill="1" applyBorder="1"/>
    <xf numFmtId="165" fontId="1" fillId="0" borderId="29" xfId="0" applyNumberFormat="1" applyFont="1" applyBorder="1" applyAlignment="1">
      <alignment horizontal="right"/>
    </xf>
    <xf numFmtId="0" fontId="0" fillId="2" borderId="11" xfId="0" applyFill="1" applyBorder="1"/>
    <xf numFmtId="165" fontId="1" fillId="0" borderId="11" xfId="0" applyNumberFormat="1" applyFont="1" applyBorder="1" applyAlignment="1">
      <alignment horizontal="right"/>
    </xf>
    <xf numFmtId="0" fontId="0" fillId="2" borderId="30" xfId="0" applyFill="1" applyBorder="1"/>
    <xf numFmtId="165" fontId="1" fillId="0" borderId="30" xfId="0" applyNumberFormat="1" applyFont="1" applyBorder="1" applyAlignment="1">
      <alignment horizontal="right"/>
    </xf>
    <xf numFmtId="0" fontId="0" fillId="2" borderId="49" xfId="0" applyFill="1" applyBorder="1"/>
    <xf numFmtId="165" fontId="1" fillId="0" borderId="49" xfId="0" applyNumberFormat="1" applyFont="1" applyBorder="1" applyAlignment="1">
      <alignment horizontal="right"/>
    </xf>
    <xf numFmtId="0" fontId="2" fillId="2" borderId="11" xfId="0" applyFont="1" applyFill="1" applyBorder="1"/>
    <xf numFmtId="0" fontId="0" fillId="2" borderId="11" xfId="0" applyFill="1" applyBorder="1" applyAlignment="1">
      <alignment wrapText="1"/>
    </xf>
    <xf numFmtId="0" fontId="8" fillId="2" borderId="1" xfId="1" applyFont="1" applyFill="1" applyBorder="1" applyAlignment="1">
      <alignment horizontal="center" wrapText="1"/>
    </xf>
    <xf numFmtId="0" fontId="1" fillId="0" borderId="0" xfId="0" applyFont="1" applyFill="1"/>
    <xf numFmtId="0" fontId="1" fillId="0" borderId="0" xfId="0" applyFont="1"/>
    <xf numFmtId="0" fontId="8" fillId="0" borderId="1" xfId="1" applyFont="1" applyFill="1" applyBorder="1" applyAlignment="1">
      <alignment vertical="center"/>
    </xf>
    <xf numFmtId="9" fontId="1" fillId="0" borderId="1" xfId="0" applyNumberFormat="1" applyFont="1" applyBorder="1"/>
    <xf numFmtId="173" fontId="0" fillId="0" borderId="1" xfId="0" applyNumberFormat="1" applyFont="1" applyBorder="1" applyAlignment="1">
      <alignment horizontal="right"/>
    </xf>
    <xf numFmtId="0" fontId="0" fillId="2" borderId="29" xfId="0" applyFill="1" applyBorder="1" applyAlignment="1">
      <alignment wrapText="1"/>
    </xf>
    <xf numFmtId="0" fontId="8" fillId="2" borderId="29" xfId="1" applyFont="1" applyFill="1" applyBorder="1" applyAlignment="1">
      <alignment horizontal="center" wrapText="1"/>
    </xf>
    <xf numFmtId="0" fontId="0" fillId="2" borderId="29" xfId="0" applyFill="1" applyBorder="1" applyAlignment="1">
      <alignment shrinkToFit="1"/>
    </xf>
    <xf numFmtId="0" fontId="2" fillId="2" borderId="11" xfId="0" applyFont="1" applyFill="1" applyBorder="1" applyAlignment="1">
      <alignment wrapText="1"/>
    </xf>
    <xf numFmtId="0" fontId="5" fillId="2" borderId="11" xfId="1" applyFont="1" applyFill="1" applyBorder="1" applyAlignment="1">
      <alignment horizontal="center" wrapText="1"/>
    </xf>
    <xf numFmtId="0" fontId="2" fillId="2" borderId="11" xfId="0" applyFont="1" applyFill="1" applyBorder="1" applyAlignment="1">
      <alignment shrinkToFit="1"/>
    </xf>
    <xf numFmtId="0" fontId="0" fillId="2" borderId="1" xfId="0" applyFill="1" applyBorder="1" applyAlignment="1">
      <alignment horizontal="left" indent="1"/>
    </xf>
    <xf numFmtId="0" fontId="7" fillId="2" borderId="41" xfId="0" applyFont="1" applyFill="1" applyBorder="1" applyAlignment="1">
      <alignment horizontal="left"/>
    </xf>
    <xf numFmtId="0" fontId="7" fillId="2" borderId="43" xfId="0" applyFont="1" applyFill="1" applyBorder="1" applyAlignment="1">
      <alignment horizontal="left"/>
    </xf>
    <xf numFmtId="165" fontId="1" fillId="0" borderId="41" xfId="0" applyNumberFormat="1" applyFont="1" applyBorder="1" applyAlignment="1">
      <alignment horizontal="right"/>
    </xf>
    <xf numFmtId="165" fontId="1" fillId="0" borderId="43" xfId="0" applyNumberFormat="1" applyFont="1" applyBorder="1" applyAlignment="1">
      <alignment horizontal="right"/>
    </xf>
    <xf numFmtId="165" fontId="7" fillId="0" borderId="41" xfId="0" applyNumberFormat="1" applyFont="1" applyBorder="1" applyAlignment="1">
      <alignment horizontal="right"/>
    </xf>
    <xf numFmtId="165" fontId="7" fillId="0" borderId="43" xfId="0" applyNumberFormat="1" applyFont="1" applyBorder="1" applyAlignment="1">
      <alignment horizontal="right"/>
    </xf>
    <xf numFmtId="0" fontId="7" fillId="3" borderId="41" xfId="0" applyFont="1" applyFill="1" applyBorder="1"/>
    <xf numFmtId="165" fontId="7" fillId="3" borderId="41" xfId="0" applyNumberFormat="1" applyFont="1" applyFill="1" applyBorder="1" applyAlignment="1">
      <alignment horizontal="right"/>
    </xf>
    <xf numFmtId="0" fontId="7" fillId="3" borderId="43" xfId="0" applyFont="1" applyFill="1" applyBorder="1"/>
    <xf numFmtId="165" fontId="7" fillId="3" borderId="43" xfId="0" applyNumberFormat="1" applyFont="1" applyFill="1" applyBorder="1" applyAlignment="1">
      <alignment horizontal="right"/>
    </xf>
    <xf numFmtId="165" fontId="1" fillId="3" borderId="1" xfId="0" applyNumberFormat="1" applyFont="1" applyFill="1" applyBorder="1" applyAlignment="1">
      <alignment horizontal="right"/>
    </xf>
    <xf numFmtId="165" fontId="7" fillId="0" borderId="68" xfId="0" applyNumberFormat="1" applyFont="1" applyBorder="1" applyAlignment="1">
      <alignment horizontal="right"/>
    </xf>
    <xf numFmtId="165" fontId="7" fillId="0" borderId="69" xfId="0" applyNumberFormat="1" applyFont="1" applyBorder="1" applyAlignment="1">
      <alignment horizontal="right"/>
    </xf>
    <xf numFmtId="0" fontId="2" fillId="2" borderId="1" xfId="0" applyFont="1" applyFill="1" applyBorder="1" applyAlignment="1">
      <alignment horizontal="left" vertical="center" wrapText="1"/>
    </xf>
    <xf numFmtId="165" fontId="7" fillId="0" borderId="52" xfId="0" quotePrefix="1" applyNumberFormat="1" applyFont="1" applyBorder="1" applyAlignment="1">
      <alignment horizontal="right"/>
    </xf>
    <xf numFmtId="165" fontId="7" fillId="0" borderId="54" xfId="0" quotePrefix="1" applyNumberFormat="1" applyFont="1" applyBorder="1" applyAlignment="1">
      <alignment horizontal="right"/>
    </xf>
    <xf numFmtId="173" fontId="1" fillId="0" borderId="29" xfId="0" applyNumberFormat="1" applyFont="1" applyBorder="1" applyAlignment="1">
      <alignment horizontal="right"/>
    </xf>
    <xf numFmtId="173" fontId="27" fillId="0" borderId="30" xfId="0" applyNumberFormat="1" applyFont="1" applyFill="1" applyBorder="1" applyAlignment="1">
      <alignment horizontal="right"/>
    </xf>
    <xf numFmtId="173" fontId="27" fillId="0" borderId="49" xfId="0" applyNumberFormat="1" applyFont="1" applyFill="1" applyBorder="1" applyAlignment="1">
      <alignment horizontal="right"/>
    </xf>
    <xf numFmtId="173" fontId="27" fillId="0" borderId="43" xfId="0" applyNumberFormat="1" applyFont="1" applyFill="1" applyBorder="1" applyAlignment="1">
      <alignment horizontal="right"/>
    </xf>
    <xf numFmtId="173" fontId="1" fillId="0" borderId="29" xfId="0" applyNumberFormat="1" applyFont="1" applyFill="1" applyBorder="1" applyAlignment="1">
      <alignment horizontal="right"/>
    </xf>
    <xf numFmtId="0" fontId="30" fillId="3" borderId="35" xfId="0" applyFont="1" applyFill="1" applyBorder="1" applyAlignment="1">
      <alignment horizontal="left"/>
    </xf>
    <xf numFmtId="165" fontId="27" fillId="0" borderId="30" xfId="0" applyNumberFormat="1" applyFont="1" applyFill="1" applyBorder="1" applyAlignment="1">
      <alignment horizontal="right"/>
    </xf>
    <xf numFmtId="165" fontId="27" fillId="0" borderId="49" xfId="0" applyNumberFormat="1" applyFont="1" applyFill="1" applyBorder="1" applyAlignment="1">
      <alignment horizontal="right"/>
    </xf>
    <xf numFmtId="165" fontId="27" fillId="0" borderId="43" xfId="0" applyNumberFormat="1" applyFont="1" applyFill="1" applyBorder="1" applyAlignment="1">
      <alignment horizontal="right"/>
    </xf>
    <xf numFmtId="2" fontId="8" fillId="0" borderId="41" xfId="1" applyNumberFormat="1" applyFont="1" applyFill="1" applyBorder="1" applyAlignment="1">
      <alignment horizontal="left" vertical="center" wrapText="1"/>
    </xf>
    <xf numFmtId="165" fontId="0" fillId="3" borderId="41" xfId="0" applyNumberFormat="1" applyFont="1" applyFill="1" applyBorder="1"/>
    <xf numFmtId="165" fontId="1" fillId="3" borderId="41" xfId="0" applyNumberFormat="1" applyFont="1" applyFill="1" applyBorder="1"/>
    <xf numFmtId="173" fontId="1" fillId="0" borderId="41" xfId="0" applyNumberFormat="1" applyFont="1" applyBorder="1" applyAlignment="1">
      <alignment horizontal="right"/>
    </xf>
    <xf numFmtId="2" fontId="8" fillId="0" borderId="42" xfId="1" applyNumberFormat="1" applyFont="1" applyFill="1" applyBorder="1" applyAlignment="1">
      <alignment horizontal="left" vertical="center" wrapText="1"/>
    </xf>
    <xf numFmtId="165" fontId="0" fillId="3" borderId="42" xfId="0" applyNumberFormat="1" applyFont="1" applyFill="1" applyBorder="1"/>
    <xf numFmtId="165" fontId="1" fillId="3" borderId="42" xfId="0" applyNumberFormat="1" applyFont="1" applyFill="1" applyBorder="1"/>
    <xf numFmtId="165" fontId="1" fillId="0" borderId="42" xfId="0" applyNumberFormat="1" applyFont="1" applyBorder="1" applyAlignment="1">
      <alignment horizontal="right"/>
    </xf>
    <xf numFmtId="173" fontId="1" fillId="0" borderId="42" xfId="0" applyNumberFormat="1" applyFont="1" applyBorder="1" applyAlignment="1">
      <alignment horizontal="right"/>
    </xf>
    <xf numFmtId="2" fontId="8" fillId="0" borderId="43" xfId="1" applyNumberFormat="1" applyFont="1" applyFill="1" applyBorder="1" applyAlignment="1">
      <alignment horizontal="left" vertical="center" wrapText="1"/>
    </xf>
    <xf numFmtId="165" fontId="0" fillId="3" borderId="43" xfId="0" applyNumberFormat="1" applyFont="1" applyFill="1" applyBorder="1"/>
    <xf numFmtId="165" fontId="1" fillId="3" borderId="43" xfId="0" applyNumberFormat="1" applyFont="1" applyFill="1" applyBorder="1"/>
    <xf numFmtId="173" fontId="1" fillId="0" borderId="43" xfId="0" applyNumberFormat="1" applyFont="1" applyBorder="1" applyAlignment="1">
      <alignment horizontal="right"/>
    </xf>
    <xf numFmtId="0" fontId="2" fillId="2" borderId="2" xfId="0" applyFont="1" applyFill="1" applyBorder="1" applyAlignment="1">
      <alignment horizontal="left" vertical="center"/>
    </xf>
    <xf numFmtId="0" fontId="5" fillId="2" borderId="15" xfId="1" applyFont="1" applyFill="1" applyBorder="1" applyAlignment="1">
      <alignment horizontal="center" vertical="center" wrapText="1"/>
    </xf>
    <xf numFmtId="0" fontId="5" fillId="2" borderId="15" xfId="1" applyFont="1" applyFill="1" applyBorder="1" applyAlignment="1">
      <alignment horizontal="center" vertical="center"/>
    </xf>
    <xf numFmtId="0" fontId="5" fillId="2" borderId="20" xfId="1" applyFont="1" applyFill="1" applyBorder="1" applyAlignment="1">
      <alignment horizontal="center" vertical="center" wrapText="1"/>
    </xf>
    <xf numFmtId="165" fontId="0" fillId="0" borderId="1" xfId="0" applyNumberFormat="1" applyFont="1" applyBorder="1" applyAlignment="1">
      <alignment horizontal="right"/>
    </xf>
    <xf numFmtId="2" fontId="0" fillId="0" borderId="1" xfId="0" applyNumberFormat="1" applyFont="1" applyBorder="1" applyAlignment="1">
      <alignment horizontal="left" vertical="center" wrapText="1"/>
    </xf>
    <xf numFmtId="2" fontId="8" fillId="0" borderId="29" xfId="1" applyNumberFormat="1" applyFont="1" applyFill="1" applyBorder="1" applyAlignment="1">
      <alignment horizontal="left" vertical="center" wrapText="1"/>
    </xf>
    <xf numFmtId="165" fontId="1" fillId="0" borderId="29" xfId="0" applyNumberFormat="1" applyFont="1" applyBorder="1"/>
    <xf numFmtId="2" fontId="29" fillId="0" borderId="30" xfId="1" applyNumberFormat="1" applyFont="1" applyFill="1" applyBorder="1" applyAlignment="1">
      <alignment horizontal="left" vertical="center" wrapText="1" indent="1"/>
    </xf>
    <xf numFmtId="165" fontId="27" fillId="0" borderId="30" xfId="0" applyNumberFormat="1" applyFont="1" applyFill="1" applyBorder="1"/>
    <xf numFmtId="173" fontId="27" fillId="0" borderId="30" xfId="0" applyNumberFormat="1" applyFont="1" applyBorder="1" applyAlignment="1">
      <alignment horizontal="right"/>
    </xf>
    <xf numFmtId="2" fontId="29" fillId="0" borderId="11" xfId="1" applyNumberFormat="1" applyFont="1" applyFill="1" applyBorder="1" applyAlignment="1">
      <alignment horizontal="left" vertical="center" wrapText="1" indent="1"/>
    </xf>
    <xf numFmtId="165" fontId="27" fillId="0" borderId="11" xfId="0" applyNumberFormat="1" applyFont="1" applyFill="1" applyBorder="1"/>
    <xf numFmtId="165" fontId="27" fillId="3" borderId="11" xfId="0" applyNumberFormat="1" applyFont="1" applyFill="1" applyBorder="1"/>
    <xf numFmtId="165" fontId="27" fillId="0" borderId="11" xfId="0" applyNumberFormat="1" applyFont="1" applyFill="1" applyBorder="1" applyAlignment="1">
      <alignment horizontal="right"/>
    </xf>
    <xf numFmtId="173" fontId="27" fillId="0" borderId="11" xfId="0" applyNumberFormat="1" applyFont="1" applyBorder="1" applyAlignment="1">
      <alignment horizontal="right"/>
    </xf>
    <xf numFmtId="165" fontId="0" fillId="0" borderId="29" xfId="0" applyNumberFormat="1" applyFont="1" applyFill="1" applyBorder="1"/>
    <xf numFmtId="165" fontId="0" fillId="0" borderId="29" xfId="0" applyNumberFormat="1" applyFont="1" applyFill="1" applyBorder="1" applyAlignment="1">
      <alignment horizontal="right"/>
    </xf>
    <xf numFmtId="10" fontId="0" fillId="0" borderId="29" xfId="0" applyNumberFormat="1" applyFont="1" applyFill="1" applyBorder="1"/>
    <xf numFmtId="2" fontId="8" fillId="0" borderId="30" xfId="1" applyNumberFormat="1" applyFont="1" applyFill="1" applyBorder="1" applyAlignment="1">
      <alignment horizontal="left" vertical="center" indent="1"/>
    </xf>
    <xf numFmtId="165" fontId="0" fillId="0" borderId="30" xfId="0" applyNumberFormat="1" applyFont="1" applyFill="1" applyBorder="1"/>
    <xf numFmtId="10" fontId="1" fillId="0" borderId="30" xfId="0" applyNumberFormat="1" applyFont="1" applyBorder="1" applyAlignment="1">
      <alignment horizontal="right"/>
    </xf>
    <xf numFmtId="2" fontId="8" fillId="0" borderId="11" xfId="1" applyNumberFormat="1" applyFont="1" applyFill="1" applyBorder="1" applyAlignment="1">
      <alignment horizontal="left" vertical="center" indent="1"/>
    </xf>
    <xf numFmtId="165" fontId="0" fillId="0" borderId="11" xfId="0" applyNumberFormat="1" applyFont="1" applyFill="1" applyBorder="1"/>
    <xf numFmtId="165" fontId="0" fillId="3" borderId="11" xfId="0" applyNumberFormat="1" applyFont="1" applyFill="1" applyBorder="1"/>
    <xf numFmtId="10" fontId="1" fillId="0" borderId="11" xfId="0" applyNumberFormat="1" applyFont="1" applyBorder="1" applyAlignment="1">
      <alignment horizontal="right"/>
    </xf>
    <xf numFmtId="165" fontId="1" fillId="0" borderId="1" xfId="0" applyNumberFormat="1" applyFont="1" applyFill="1" applyBorder="1" applyAlignment="1">
      <alignment horizontal="right"/>
    </xf>
    <xf numFmtId="0" fontId="0" fillId="0" borderId="0" xfId="0"/>
    <xf numFmtId="170" fontId="1" fillId="1" borderId="1" xfId="0" applyNumberFormat="1" applyFont="1" applyFill="1" applyBorder="1"/>
    <xf numFmtId="170" fontId="1" fillId="0" borderId="1" xfId="0" applyNumberFormat="1" applyFont="1" applyBorder="1"/>
    <xf numFmtId="0" fontId="0" fillId="0" borderId="0" xfId="0"/>
    <xf numFmtId="0" fontId="0" fillId="0" borderId="0" xfId="0" applyFont="1" applyAlignment="1"/>
    <xf numFmtId="0" fontId="7" fillId="2" borderId="1" xfId="0" applyFont="1" applyFill="1" applyBorder="1" applyAlignment="1">
      <alignment wrapText="1"/>
    </xf>
    <xf numFmtId="0" fontId="7" fillId="2" borderId="29" xfId="0" applyFont="1" applyFill="1" applyBorder="1" applyAlignment="1">
      <alignment wrapText="1"/>
    </xf>
    <xf numFmtId="0" fontId="34" fillId="2" borderId="11" xfId="0" applyFont="1" applyFill="1" applyBorder="1" applyAlignment="1">
      <alignment wrapText="1"/>
    </xf>
    <xf numFmtId="165" fontId="7" fillId="0" borderId="29" xfId="0" applyNumberFormat="1" applyFont="1" applyBorder="1" applyAlignment="1">
      <alignment horizontal="right"/>
    </xf>
    <xf numFmtId="165" fontId="7" fillId="0" borderId="49" xfId="0" applyNumberFormat="1" applyFont="1" applyBorder="1" applyAlignment="1">
      <alignment horizontal="right"/>
    </xf>
    <xf numFmtId="165" fontId="7" fillId="0" borderId="30" xfId="0" applyNumberFormat="1" applyFont="1" applyBorder="1" applyAlignment="1">
      <alignment horizontal="right"/>
    </xf>
    <xf numFmtId="165" fontId="7" fillId="0" borderId="11" xfId="0" applyNumberFormat="1" applyFont="1" applyBorder="1" applyAlignment="1">
      <alignment horizontal="right"/>
    </xf>
    <xf numFmtId="0" fontId="1" fillId="0" borderId="1" xfId="0" applyFont="1" applyBorder="1" applyAlignment="1">
      <alignment horizontal="center"/>
    </xf>
    <xf numFmtId="0" fontId="1" fillId="3" borderId="1" xfId="0" applyFont="1" applyFill="1" applyBorder="1" applyAlignment="1">
      <alignment horizontal="center"/>
    </xf>
    <xf numFmtId="165" fontId="1" fillId="0" borderId="22" xfId="0" applyNumberFormat="1" applyFont="1" applyBorder="1" applyAlignment="1">
      <alignment horizontal="right"/>
    </xf>
    <xf numFmtId="165" fontId="1" fillId="0" borderId="23" xfId="0" applyNumberFormat="1" applyFont="1" applyBorder="1" applyAlignment="1">
      <alignment horizontal="right"/>
    </xf>
    <xf numFmtId="170" fontId="1" fillId="3" borderId="1" xfId="0" applyNumberFormat="1" applyFont="1" applyFill="1" applyBorder="1"/>
    <xf numFmtId="0" fontId="0" fillId="0" borderId="1" xfId="0" applyFont="1" applyBorder="1" applyAlignment="1">
      <alignment horizontal="left"/>
    </xf>
    <xf numFmtId="0" fontId="22" fillId="0" borderId="0" xfId="4"/>
    <xf numFmtId="0" fontId="2" fillId="0" borderId="0" xfId="4" applyFont="1"/>
    <xf numFmtId="0" fontId="1" fillId="2" borderId="1" xfId="4" applyFont="1" applyFill="1" applyBorder="1"/>
    <xf numFmtId="0" fontId="1" fillId="2" borderId="1" xfId="4" applyFont="1" applyFill="1" applyBorder="1" applyAlignment="1">
      <alignment horizontal="center" vertical="center" wrapText="1"/>
    </xf>
    <xf numFmtId="0" fontId="1" fillId="2" borderId="1" xfId="4" applyFont="1" applyFill="1" applyBorder="1" applyAlignment="1">
      <alignment horizontal="center"/>
    </xf>
    <xf numFmtId="0" fontId="7" fillId="0" borderId="0" xfId="4" applyFont="1"/>
    <xf numFmtId="2" fontId="1" fillId="0" borderId="1" xfId="4" applyNumberFormat="1" applyFont="1" applyBorder="1"/>
    <xf numFmtId="0" fontId="8" fillId="0" borderId="0" xfId="4" applyFont="1" applyFill="1" applyBorder="1"/>
    <xf numFmtId="0" fontId="0" fillId="2" borderId="1" xfId="4" applyFont="1" applyFill="1" applyBorder="1"/>
    <xf numFmtId="0" fontId="0" fillId="2" borderId="1" xfId="4" applyFont="1" applyFill="1" applyBorder="1" applyAlignment="1">
      <alignment horizontal="center"/>
    </xf>
    <xf numFmtId="0" fontId="0" fillId="2" borderId="1" xfId="4" applyFont="1" applyFill="1" applyBorder="1" applyAlignment="1">
      <alignment horizontal="center" vertical="center" wrapText="1"/>
    </xf>
    <xf numFmtId="0" fontId="0" fillId="2" borderId="1" xfId="4" applyFont="1" applyFill="1" applyBorder="1" applyAlignment="1">
      <alignment wrapText="1"/>
    </xf>
    <xf numFmtId="0" fontId="7" fillId="0" borderId="0" xfId="4" applyFont="1" applyFill="1" applyBorder="1"/>
    <xf numFmtId="169" fontId="7" fillId="0" borderId="1" xfId="0" applyNumberFormat="1" applyFont="1" applyBorder="1" applyAlignment="1">
      <alignment vertical="center"/>
    </xf>
    <xf numFmtId="169" fontId="13" fillId="0" borderId="1" xfId="0" applyNumberFormat="1" applyFont="1" applyBorder="1" applyAlignment="1">
      <alignment vertical="center"/>
    </xf>
    <xf numFmtId="165" fontId="1" fillId="0" borderId="1" xfId="4" applyNumberFormat="1" applyFont="1" applyBorder="1" applyAlignment="1">
      <alignment horizontal="right"/>
    </xf>
    <xf numFmtId="165" fontId="1" fillId="0" borderId="1" xfId="4" applyNumberFormat="1" applyFont="1" applyFill="1" applyBorder="1" applyAlignment="1">
      <alignment horizontal="right"/>
    </xf>
    <xf numFmtId="0" fontId="0" fillId="0" borderId="0" xfId="0"/>
    <xf numFmtId="0" fontId="0" fillId="2" borderId="22" xfId="0" applyFont="1" applyFill="1" applyBorder="1" applyAlignment="1">
      <alignment horizontal="center"/>
    </xf>
    <xf numFmtId="178" fontId="27" fillId="2" borderId="20" xfId="0" applyNumberFormat="1" applyFont="1" applyFill="1" applyBorder="1" applyAlignment="1">
      <alignment horizontal="center"/>
    </xf>
    <xf numFmtId="178" fontId="27" fillId="2" borderId="1" xfId="0" applyNumberFormat="1" applyFont="1" applyFill="1" applyBorder="1" applyAlignment="1">
      <alignment horizontal="center"/>
    </xf>
    <xf numFmtId="0" fontId="0" fillId="0" borderId="1" xfId="0" applyFont="1" applyBorder="1" applyAlignment="1">
      <alignment horizontal="left" vertical="center"/>
    </xf>
    <xf numFmtId="4" fontId="27" fillId="0" borderId="20" xfId="0" applyNumberFormat="1" applyFont="1" applyFill="1" applyBorder="1"/>
    <xf numFmtId="4" fontId="27" fillId="0" borderId="1" xfId="0" applyNumberFormat="1" applyFont="1" applyFill="1" applyBorder="1"/>
    <xf numFmtId="172" fontId="1" fillId="3" borderId="1" xfId="0" applyNumberFormat="1" applyFont="1" applyFill="1" applyBorder="1"/>
    <xf numFmtId="172" fontId="1" fillId="0" borderId="1" xfId="0" applyNumberFormat="1" applyFont="1" applyBorder="1"/>
    <xf numFmtId="0" fontId="0" fillId="0" borderId="2" xfId="0" applyFont="1" applyBorder="1" applyAlignment="1">
      <alignment horizontal="left" vertical="center" indent="1"/>
    </xf>
    <xf numFmtId="0" fontId="0" fillId="0" borderId="0" xfId="0"/>
    <xf numFmtId="173" fontId="0" fillId="0" borderId="0" xfId="0" applyNumberFormat="1"/>
    <xf numFmtId="0" fontId="0" fillId="0" borderId="0" xfId="0"/>
    <xf numFmtId="0" fontId="27" fillId="2" borderId="1" xfId="0" applyFont="1" applyFill="1" applyBorder="1" applyAlignment="1">
      <alignment horizontal="center"/>
    </xf>
    <xf numFmtId="0" fontId="37" fillId="0" borderId="0" xfId="5"/>
    <xf numFmtId="0" fontId="5" fillId="2" borderId="1" xfId="0" applyFont="1" applyFill="1" applyBorder="1" applyAlignment="1">
      <alignment horizontal="left"/>
    </xf>
    <xf numFmtId="14" fontId="0" fillId="0" borderId="1" xfId="0" applyNumberFormat="1" applyBorder="1"/>
    <xf numFmtId="0" fontId="0" fillId="0" borderId="0" xfId="0"/>
    <xf numFmtId="0" fontId="0" fillId="0" borderId="0" xfId="0"/>
    <xf numFmtId="0" fontId="0" fillId="0" borderId="0" xfId="0" applyFont="1" applyFill="1" applyBorder="1" applyAlignment="1">
      <alignment horizontal="left" vertical="center" wrapText="1"/>
    </xf>
    <xf numFmtId="0" fontId="1" fillId="2" borderId="23" xfId="0" applyFont="1" applyFill="1" applyBorder="1" applyAlignment="1">
      <alignment horizontal="center"/>
    </xf>
    <xf numFmtId="4" fontId="1" fillId="0" borderId="1" xfId="0" applyNumberFormat="1" applyFont="1" applyFill="1" applyBorder="1"/>
    <xf numFmtId="0" fontId="0" fillId="0" borderId="0" xfId="0"/>
    <xf numFmtId="0" fontId="0" fillId="0" borderId="0" xfId="0"/>
    <xf numFmtId="0" fontId="0" fillId="0" borderId="0" xfId="0"/>
    <xf numFmtId="168" fontId="0" fillId="0" borderId="0" xfId="0" applyNumberFormat="1" applyFont="1" applyFill="1" applyBorder="1" applyAlignment="1">
      <alignment horizontal="left" wrapText="1"/>
    </xf>
    <xf numFmtId="0" fontId="0" fillId="0" borderId="0" xfId="0"/>
    <xf numFmtId="4" fontId="1" fillId="0" borderId="23" xfId="0" applyNumberFormat="1" applyFont="1" applyFill="1" applyBorder="1"/>
    <xf numFmtId="0" fontId="7" fillId="0" borderId="0" xfId="0" applyFont="1" applyFill="1" applyBorder="1" applyAlignment="1">
      <alignment horizontal="left" vertical="center"/>
    </xf>
    <xf numFmtId="0" fontId="37" fillId="0" borderId="0" xfId="5" applyFill="1"/>
    <xf numFmtId="0" fontId="0" fillId="0" borderId="0" xfId="0"/>
    <xf numFmtId="0" fontId="0" fillId="0" borderId="0" xfId="0"/>
    <xf numFmtId="0" fontId="0" fillId="0" borderId="0" xfId="0"/>
    <xf numFmtId="0" fontId="0" fillId="0" borderId="0" xfId="0"/>
    <xf numFmtId="0" fontId="0" fillId="2" borderId="2" xfId="0" applyFont="1" applyFill="1" applyBorder="1" applyAlignment="1">
      <alignment horizontal="right" shrinkToFit="1"/>
    </xf>
    <xf numFmtId="0" fontId="0" fillId="2" borderId="15" xfId="0" applyFont="1" applyFill="1" applyBorder="1" applyAlignment="1">
      <alignment horizontal="center" shrinkToFit="1"/>
    </xf>
    <xf numFmtId="165" fontId="7" fillId="3" borderId="1" xfId="0" applyNumberFormat="1" applyFont="1" applyFill="1" applyBorder="1"/>
    <xf numFmtId="0" fontId="0" fillId="0" borderId="0" xfId="0"/>
    <xf numFmtId="170" fontId="30" fillId="0" borderId="0" xfId="0" applyNumberFormat="1" applyFont="1" applyFill="1" applyBorder="1"/>
    <xf numFmtId="3" fontId="30" fillId="0" borderId="0" xfId="0" applyNumberFormat="1" applyFont="1" applyFill="1" applyBorder="1"/>
    <xf numFmtId="0" fontId="0" fillId="0" borderId="0" xfId="0" applyAlignment="1">
      <alignment vertical="center"/>
    </xf>
    <xf numFmtId="0" fontId="0" fillId="7" borderId="0" xfId="0" applyFill="1"/>
    <xf numFmtId="0" fontId="0" fillId="0" borderId="0" xfId="0" applyFont="1" applyAlignment="1">
      <alignment vertical="center"/>
    </xf>
    <xf numFmtId="0" fontId="2" fillId="0" borderId="0" xfId="0" applyFont="1" applyAlignment="1">
      <alignment vertical="center"/>
    </xf>
    <xf numFmtId="2" fontId="0" fillId="0" borderId="0" xfId="0" applyNumberFormat="1"/>
    <xf numFmtId="4" fontId="0" fillId="12" borderId="0" xfId="0" applyNumberFormat="1" applyFill="1"/>
    <xf numFmtId="0" fontId="0" fillId="12" borderId="0" xfId="0" applyFill="1"/>
    <xf numFmtId="4" fontId="30" fillId="0" borderId="0" xfId="0" applyNumberFormat="1" applyFont="1"/>
    <xf numFmtId="0" fontId="30" fillId="0" borderId="0" xfId="0" applyFont="1"/>
    <xf numFmtId="0" fontId="0" fillId="0" borderId="0" xfId="0"/>
    <xf numFmtId="0" fontId="0" fillId="0" borderId="0" xfId="0"/>
    <xf numFmtId="0" fontId="0" fillId="0" borderId="0" xfId="0" applyBorder="1" applyAlignment="1">
      <alignment vertical="center"/>
    </xf>
    <xf numFmtId="4" fontId="0" fillId="7" borderId="0" xfId="0" applyNumberFormat="1" applyFill="1" applyBorder="1"/>
    <xf numFmtId="170" fontId="0" fillId="7" borderId="0" xfId="0" applyNumberFormat="1" applyFill="1" applyBorder="1"/>
    <xf numFmtId="0" fontId="0" fillId="0" borderId="1" xfId="0" quotePrefix="1" applyFont="1" applyBorder="1" applyAlignment="1">
      <alignment horizontal="left" vertical="center" wrapText="1"/>
    </xf>
    <xf numFmtId="172" fontId="1" fillId="0" borderId="1" xfId="0" applyNumberFormat="1" applyFont="1" applyFill="1" applyBorder="1"/>
    <xf numFmtId="3" fontId="1" fillId="3" borderId="1" xfId="0" applyNumberFormat="1" applyFont="1" applyFill="1" applyBorder="1"/>
    <xf numFmtId="3" fontId="1" fillId="0" borderId="1" xfId="0" applyNumberFormat="1" applyFont="1" applyFill="1" applyBorder="1"/>
    <xf numFmtId="0" fontId="0" fillId="0" borderId="72" xfId="0" quotePrefix="1" applyFont="1" applyBorder="1" applyAlignment="1">
      <alignment horizontal="left" vertical="center" wrapText="1"/>
    </xf>
    <xf numFmtId="165" fontId="0" fillId="0" borderId="72" xfId="0" applyNumberFormat="1" applyFont="1" applyFill="1" applyBorder="1"/>
    <xf numFmtId="165" fontId="1" fillId="3" borderId="72" xfId="0" applyNumberFormat="1" applyFont="1" applyFill="1" applyBorder="1"/>
    <xf numFmtId="0" fontId="2" fillId="0" borderId="11" xfId="0" quotePrefix="1" applyFont="1" applyBorder="1" applyAlignment="1">
      <alignment horizontal="left" vertical="center" wrapText="1"/>
    </xf>
    <xf numFmtId="165" fontId="2" fillId="0" borderId="11" xfId="0" applyNumberFormat="1" applyFont="1" applyFill="1" applyBorder="1"/>
    <xf numFmtId="165" fontId="2" fillId="3" borderId="11" xfId="0" applyNumberFormat="1" applyFont="1" applyFill="1" applyBorder="1"/>
    <xf numFmtId="0" fontId="0" fillId="2" borderId="1" xfId="0" applyFont="1" applyFill="1" applyBorder="1" applyAlignment="1">
      <alignment horizontal="center" shrinkToFit="1"/>
    </xf>
    <xf numFmtId="4" fontId="1" fillId="0" borderId="22" xfId="0" applyNumberFormat="1" applyFont="1" applyFill="1" applyBorder="1"/>
    <xf numFmtId="0" fontId="0" fillId="0" borderId="0" xfId="0" applyNumberFormat="1" applyFill="1"/>
    <xf numFmtId="3" fontId="0" fillId="0" borderId="0" xfId="0" applyNumberFormat="1" applyFill="1"/>
    <xf numFmtId="0" fontId="7" fillId="0" borderId="0" xfId="0" applyNumberFormat="1" applyFont="1" applyFill="1"/>
    <xf numFmtId="0" fontId="7" fillId="0" borderId="0" xfId="0" applyFont="1" applyFill="1"/>
    <xf numFmtId="0" fontId="7" fillId="0" borderId="0" xfId="0" applyFont="1" applyFill="1" applyAlignment="1">
      <alignment horizontal="left" indent="1"/>
    </xf>
    <xf numFmtId="0" fontId="0" fillId="0" borderId="0" xfId="0" applyFont="1" applyFill="1" applyAlignment="1">
      <alignment horizontal="left"/>
    </xf>
    <xf numFmtId="0" fontId="0" fillId="0" borderId="0" xfId="0" applyNumberFormat="1" applyFont="1" applyFill="1"/>
    <xf numFmtId="0" fontId="0" fillId="0" borderId="0" xfId="0" applyFill="1" applyAlignment="1">
      <alignment horizontal="right"/>
    </xf>
    <xf numFmtId="0" fontId="0" fillId="0" borderId="0" xfId="0"/>
    <xf numFmtId="4" fontId="1" fillId="0" borderId="2" xfId="0" applyNumberFormat="1" applyFont="1" applyFill="1" applyBorder="1"/>
    <xf numFmtId="4" fontId="1" fillId="0" borderId="20" xfId="0" applyNumberFormat="1" applyFont="1" applyFill="1" applyBorder="1"/>
    <xf numFmtId="4" fontId="1" fillId="0" borderId="33" xfId="0" applyNumberFormat="1" applyFont="1" applyFill="1" applyBorder="1"/>
    <xf numFmtId="0" fontId="0" fillId="0" borderId="0" xfId="0"/>
    <xf numFmtId="0" fontId="0" fillId="0" borderId="0" xfId="0" applyFill="1" applyAlignment="1">
      <alignment wrapText="1"/>
    </xf>
    <xf numFmtId="0" fontId="0" fillId="2" borderId="34" xfId="0" applyFill="1" applyBorder="1" applyAlignment="1">
      <alignment wrapText="1"/>
    </xf>
    <xf numFmtId="0" fontId="0" fillId="0" borderId="0" xfId="0" applyAlignment="1">
      <alignment wrapText="1"/>
    </xf>
    <xf numFmtId="0" fontId="0" fillId="0" borderId="18" xfId="0" applyBorder="1" applyAlignment="1">
      <alignment wrapText="1"/>
    </xf>
    <xf numFmtId="0" fontId="0" fillId="0" borderId="0" xfId="0"/>
    <xf numFmtId="0" fontId="0" fillId="0" borderId="18" xfId="0" applyBorder="1"/>
    <xf numFmtId="0" fontId="0" fillId="2" borderId="18" xfId="0" applyFill="1" applyBorder="1" applyAlignment="1">
      <alignment wrapText="1"/>
    </xf>
    <xf numFmtId="0" fontId="0" fillId="2" borderId="18" xfId="0" applyFill="1" applyBorder="1"/>
    <xf numFmtId="0" fontId="0" fillId="2" borderId="0" xfId="0" applyFill="1"/>
    <xf numFmtId="0" fontId="7" fillId="0" borderId="0" xfId="0" applyFont="1" applyAlignment="1">
      <alignment horizontal="left" indent="1"/>
    </xf>
    <xf numFmtId="0" fontId="0" fillId="0" borderId="0" xfId="0"/>
    <xf numFmtId="0" fontId="0" fillId="0" borderId="21" xfId="0" applyFill="1" applyBorder="1" applyAlignment="1">
      <alignment wrapText="1"/>
    </xf>
    <xf numFmtId="0" fontId="0" fillId="0" borderId="21" xfId="0" applyFill="1" applyBorder="1" applyAlignment="1">
      <alignment horizontal="center" vertical="center"/>
    </xf>
    <xf numFmtId="4" fontId="0" fillId="0" borderId="0" xfId="0" applyNumberFormat="1" applyFill="1"/>
    <xf numFmtId="4" fontId="0" fillId="0" borderId="26" xfId="0" applyNumberFormat="1" applyFill="1" applyBorder="1"/>
    <xf numFmtId="4" fontId="0" fillId="0" borderId="75" xfId="0" applyNumberFormat="1" applyFill="1" applyBorder="1"/>
    <xf numFmtId="0" fontId="2" fillId="0" borderId="0" xfId="0" applyFont="1" applyFill="1" applyAlignment="1"/>
    <xf numFmtId="0" fontId="2" fillId="0" borderId="34" xfId="0" applyFont="1" applyFill="1" applyBorder="1" applyAlignment="1"/>
    <xf numFmtId="0" fontId="2" fillId="0" borderId="34" xfId="0" applyFont="1" applyFill="1" applyBorder="1"/>
    <xf numFmtId="0" fontId="0" fillId="0" borderId="0" xfId="0" applyFill="1" applyAlignment="1">
      <alignment horizontal="left" wrapText="1" indent="1"/>
    </xf>
    <xf numFmtId="0" fontId="0" fillId="0" borderId="18" xfId="0" applyFill="1" applyBorder="1" applyAlignment="1">
      <alignment wrapText="1"/>
    </xf>
    <xf numFmtId="0" fontId="0" fillId="0" borderId="18" xfId="0" applyFill="1" applyBorder="1"/>
    <xf numFmtId="10" fontId="0" fillId="0" borderId="18" xfId="0" applyNumberFormat="1" applyFill="1" applyBorder="1"/>
    <xf numFmtId="0" fontId="7" fillId="0" borderId="0" xfId="0" applyFont="1" applyFill="1" applyAlignment="1"/>
    <xf numFmtId="10" fontId="0" fillId="0" borderId="0" xfId="0" applyNumberFormat="1" applyFill="1"/>
    <xf numFmtId="0" fontId="0" fillId="0" borderId="5" xfId="0" applyFill="1" applyBorder="1" applyAlignment="1">
      <alignment wrapText="1"/>
    </xf>
    <xf numFmtId="0" fontId="0" fillId="0" borderId="5" xfId="0" applyFill="1" applyBorder="1"/>
    <xf numFmtId="3" fontId="0" fillId="0" borderId="5" xfId="0" applyNumberFormat="1" applyFill="1" applyBorder="1"/>
    <xf numFmtId="3" fontId="0" fillId="0" borderId="5" xfId="0" applyNumberFormat="1" applyFill="1" applyBorder="1" applyAlignment="1">
      <alignment horizontal="right"/>
    </xf>
    <xf numFmtId="0" fontId="0" fillId="0" borderId="32" xfId="0" applyFill="1" applyBorder="1" applyAlignment="1">
      <alignment wrapText="1"/>
    </xf>
    <xf numFmtId="10" fontId="0" fillId="0" borderId="32" xfId="0" applyNumberFormat="1" applyFill="1" applyBorder="1"/>
    <xf numFmtId="0" fontId="0" fillId="0" borderId="0" xfId="0" applyFill="1" applyBorder="1" applyAlignment="1">
      <alignment wrapText="1"/>
    </xf>
    <xf numFmtId="10" fontId="0" fillId="0" borderId="0" xfId="0" applyNumberFormat="1" applyFill="1" applyBorder="1"/>
    <xf numFmtId="0" fontId="2" fillId="0" borderId="18" xfId="0" applyFont="1" applyFill="1" applyBorder="1" applyAlignment="1">
      <alignment wrapText="1"/>
    </xf>
    <xf numFmtId="166" fontId="2" fillId="0" borderId="18" xfId="0" applyNumberFormat="1" applyFont="1" applyFill="1" applyBorder="1"/>
    <xf numFmtId="0" fontId="0" fillId="0" borderId="15" xfId="0" applyFill="1" applyBorder="1" applyAlignment="1">
      <alignment wrapText="1"/>
    </xf>
    <xf numFmtId="0" fontId="0" fillId="0" borderId="15" xfId="0" applyFill="1" applyBorder="1" applyAlignment="1">
      <alignment horizontal="center" vertical="center"/>
    </xf>
    <xf numFmtId="4" fontId="0" fillId="0" borderId="15" xfId="0" applyNumberFormat="1" applyFill="1" applyBorder="1"/>
    <xf numFmtId="4" fontId="0" fillId="0" borderId="28" xfId="0" applyNumberFormat="1" applyFill="1" applyBorder="1"/>
    <xf numFmtId="4" fontId="0" fillId="0" borderId="33" xfId="0" applyNumberFormat="1" applyFill="1" applyBorder="1"/>
    <xf numFmtId="173" fontId="0" fillId="0" borderId="0" xfId="0" applyNumberFormat="1" applyFill="1"/>
    <xf numFmtId="173" fontId="0" fillId="0" borderId="76" xfId="0" applyNumberFormat="1" applyFill="1" applyBorder="1"/>
    <xf numFmtId="0" fontId="0" fillId="0" borderId="0" xfId="0" applyFill="1" applyAlignment="1">
      <alignment wrapText="1"/>
    </xf>
    <xf numFmtId="0" fontId="0" fillId="2" borderId="34" xfId="0" applyFill="1" applyBorder="1" applyAlignment="1">
      <alignment wrapText="1"/>
    </xf>
    <xf numFmtId="0" fontId="0" fillId="2" borderId="0" xfId="0" applyFill="1"/>
    <xf numFmtId="4" fontId="0" fillId="0" borderId="18" xfId="0" applyNumberFormat="1" applyFill="1" applyBorder="1"/>
    <xf numFmtId="4" fontId="0" fillId="0" borderId="77" xfId="0" applyNumberFormat="1" applyFill="1" applyBorder="1"/>
    <xf numFmtId="4" fontId="0" fillId="0" borderId="71" xfId="0" applyNumberFormat="1" applyFill="1" applyBorder="1"/>
    <xf numFmtId="0" fontId="37" fillId="0" borderId="0" xfId="5" applyFill="1" applyBorder="1" applyAlignment="1">
      <alignment horizontal="left" indent="1"/>
    </xf>
    <xf numFmtId="0" fontId="37" fillId="0" borderId="0" xfId="5" applyAlignment="1">
      <alignment horizontal="left" indent="1"/>
    </xf>
    <xf numFmtId="3" fontId="0" fillId="0" borderId="18" xfId="0" applyNumberFormat="1" applyFill="1" applyBorder="1"/>
    <xf numFmtId="0" fontId="0" fillId="0" borderId="1" xfId="0" applyFill="1" applyBorder="1"/>
    <xf numFmtId="166" fontId="0" fillId="0" borderId="0" xfId="0" applyNumberFormat="1" applyFill="1"/>
    <xf numFmtId="166" fontId="0" fillId="0" borderId="18" xfId="0" applyNumberFormat="1" applyFill="1" applyBorder="1"/>
    <xf numFmtId="165" fontId="0" fillId="0" borderId="0" xfId="0" applyNumberFormat="1" applyFill="1"/>
    <xf numFmtId="179" fontId="0" fillId="0" borderId="0" xfId="0" applyNumberFormat="1"/>
    <xf numFmtId="170" fontId="8" fillId="0" borderId="22" xfId="0" applyNumberFormat="1" applyFont="1" applyFill="1" applyBorder="1"/>
    <xf numFmtId="0" fontId="27" fillId="2" borderId="1" xfId="0" applyFont="1" applyFill="1" applyBorder="1" applyAlignment="1">
      <alignment horizontal="right" shrinkToFit="1"/>
    </xf>
    <xf numFmtId="10" fontId="7" fillId="0" borderId="0" xfId="4" applyNumberFormat="1" applyFont="1" applyFill="1" applyBorder="1" applyAlignment="1">
      <alignment horizontal="right"/>
    </xf>
    <xf numFmtId="10" fontId="7" fillId="0" borderId="1" xfId="4" applyNumberFormat="1" applyFont="1" applyFill="1" applyBorder="1" applyAlignment="1">
      <alignment horizontal="right"/>
    </xf>
    <xf numFmtId="0" fontId="7" fillId="2" borderId="1" xfId="4" applyFont="1" applyFill="1" applyBorder="1" applyAlignment="1">
      <alignment horizontal="left" wrapText="1" indent="1"/>
    </xf>
    <xf numFmtId="0" fontId="0" fillId="0" borderId="0" xfId="0" applyFont="1" applyAlignment="1">
      <alignment wrapText="1"/>
    </xf>
    <xf numFmtId="173" fontId="0" fillId="0" borderId="78" xfId="0" applyNumberFormat="1" applyFill="1" applyBorder="1"/>
    <xf numFmtId="0" fontId="5" fillId="2" borderId="64" xfId="1" applyFont="1" applyFill="1" applyBorder="1" applyAlignment="1">
      <alignment vertical="center"/>
    </xf>
    <xf numFmtId="0" fontId="43" fillId="0" borderId="0" xfId="0" applyFont="1"/>
    <xf numFmtId="0" fontId="44" fillId="2" borderId="15" xfId="0" applyFont="1" applyFill="1" applyBorder="1" applyAlignment="1">
      <alignment horizontal="center"/>
    </xf>
    <xf numFmtId="0" fontId="0" fillId="2" borderId="11" xfId="0" applyFont="1" applyFill="1" applyBorder="1" applyAlignment="1">
      <alignment horizontal="left" vertical="center" wrapText="1"/>
    </xf>
    <xf numFmtId="0" fontId="1" fillId="2" borderId="15" xfId="0" applyFont="1" applyFill="1" applyBorder="1" applyAlignment="1">
      <alignment horizontal="center"/>
    </xf>
    <xf numFmtId="0" fontId="42" fillId="0" borderId="0" xfId="0" applyFont="1" applyBorder="1" applyAlignment="1">
      <alignment vertical="top" wrapText="1"/>
    </xf>
    <xf numFmtId="0" fontId="0" fillId="0" borderId="0" xfId="0" applyAlignment="1">
      <alignment wrapText="1"/>
    </xf>
    <xf numFmtId="0" fontId="0" fillId="2" borderId="20" xfId="0" applyFont="1" applyFill="1" applyBorder="1" applyAlignment="1">
      <alignment horizontal="center"/>
    </xf>
    <xf numFmtId="170" fontId="1" fillId="11" borderId="1" xfId="0" applyNumberFormat="1" applyFont="1" applyFill="1" applyBorder="1"/>
    <xf numFmtId="0" fontId="0" fillId="0" borderId="0" xfId="0" applyFont="1" applyAlignment="1">
      <alignment horizontal="left" indent="1"/>
    </xf>
    <xf numFmtId="170" fontId="0" fillId="0" borderId="26" xfId="0" applyNumberFormat="1" applyBorder="1"/>
    <xf numFmtId="0" fontId="7" fillId="0" borderId="0" xfId="0" applyFont="1" applyFill="1" applyBorder="1"/>
    <xf numFmtId="0" fontId="46" fillId="2" borderId="2" xfId="0" applyFont="1" applyFill="1" applyBorder="1" applyAlignment="1">
      <alignment horizontal="right"/>
    </xf>
    <xf numFmtId="0" fontId="47" fillId="2" borderId="20" xfId="0" applyFont="1" applyFill="1" applyBorder="1" applyAlignment="1">
      <alignment horizontal="right"/>
    </xf>
    <xf numFmtId="0" fontId="44" fillId="2" borderId="15" xfId="0" applyFont="1" applyFill="1" applyBorder="1" applyAlignment="1">
      <alignment horizontal="right"/>
    </xf>
    <xf numFmtId="0" fontId="44" fillId="2" borderId="1" xfId="0" applyFont="1" applyFill="1" applyBorder="1" applyAlignment="1">
      <alignment horizontal="center"/>
    </xf>
    <xf numFmtId="14" fontId="44" fillId="2" borderId="1" xfId="0" applyNumberFormat="1" applyFont="1" applyFill="1" applyBorder="1" applyAlignment="1">
      <alignment horizontal="center"/>
    </xf>
    <xf numFmtId="165" fontId="0" fillId="0" borderId="1" xfId="0" applyNumberFormat="1" applyFont="1" applyFill="1" applyBorder="1" applyAlignment="1"/>
    <xf numFmtId="0" fontId="1" fillId="2" borderId="2" xfId="0" applyFont="1" applyFill="1" applyBorder="1" applyAlignment="1">
      <alignment horizontal="left"/>
    </xf>
    <xf numFmtId="0" fontId="44" fillId="2" borderId="2" xfId="0" applyFont="1" applyFill="1" applyBorder="1" applyAlignment="1">
      <alignment horizontal="left"/>
    </xf>
    <xf numFmtId="0" fontId="44" fillId="2" borderId="20" xfId="0" applyFont="1" applyFill="1" applyBorder="1" applyAlignment="1">
      <alignment horizontal="center"/>
    </xf>
    <xf numFmtId="0" fontId="1" fillId="2" borderId="1" xfId="0" applyFont="1" applyFill="1" applyBorder="1" applyAlignment="1">
      <alignment horizontal="left"/>
    </xf>
    <xf numFmtId="0" fontId="44" fillId="2" borderId="1" xfId="0" applyFont="1" applyFill="1" applyBorder="1" applyAlignment="1">
      <alignment horizontal="left"/>
    </xf>
    <xf numFmtId="0" fontId="0" fillId="0" borderId="0" xfId="0"/>
    <xf numFmtId="0" fontId="7" fillId="0" borderId="0" xfId="0" applyFont="1" applyAlignment="1">
      <alignment wrapText="1"/>
    </xf>
    <xf numFmtId="0" fontId="1" fillId="2" borderId="15" xfId="0" applyFont="1" applyFill="1" applyBorder="1" applyAlignment="1">
      <alignment horizontal="center"/>
    </xf>
    <xf numFmtId="0" fontId="0" fillId="0" borderId="0" xfId="0" applyFont="1" applyAlignment="1">
      <alignment wrapText="1"/>
    </xf>
    <xf numFmtId="0" fontId="0" fillId="0" borderId="0" xfId="0"/>
    <xf numFmtId="0" fontId="8" fillId="2" borderId="1" xfId="0" applyFont="1" applyFill="1" applyBorder="1" applyAlignment="1">
      <alignment horizontal="center" vertical="center"/>
    </xf>
    <xf numFmtId="0" fontId="0" fillId="2" borderId="20" xfId="0" applyFont="1" applyFill="1" applyBorder="1" applyAlignment="1">
      <alignment horizontal="center"/>
    </xf>
    <xf numFmtId="0" fontId="0" fillId="2" borderId="1" xfId="0" applyFont="1" applyFill="1" applyBorder="1" applyAlignment="1">
      <alignment horizontal="center" vertical="center"/>
    </xf>
    <xf numFmtId="0" fontId="0" fillId="0" borderId="2" xfId="0" applyFont="1" applyFill="1" applyBorder="1"/>
    <xf numFmtId="170" fontId="30" fillId="0" borderId="1" xfId="0" applyNumberFormat="1" applyFont="1" applyFill="1" applyBorder="1"/>
    <xf numFmtId="170" fontId="30" fillId="0" borderId="83" xfId="0" applyNumberFormat="1" applyFont="1" applyFill="1" applyBorder="1"/>
    <xf numFmtId="170" fontId="30" fillId="0" borderId="84" xfId="0" applyNumberFormat="1" applyFont="1" applyFill="1" applyBorder="1"/>
    <xf numFmtId="170" fontId="30" fillId="0" borderId="3" xfId="0" applyNumberFormat="1" applyFont="1" applyFill="1" applyBorder="1"/>
    <xf numFmtId="0" fontId="7" fillId="0" borderId="1" xfId="0" applyFont="1" applyBorder="1" applyAlignment="1">
      <alignment horizontal="center"/>
    </xf>
    <xf numFmtId="0" fontId="7" fillId="3" borderId="1" xfId="0" applyFont="1" applyFill="1" applyBorder="1"/>
    <xf numFmtId="173" fontId="7" fillId="0" borderId="1" xfId="0" applyNumberFormat="1" applyFont="1" applyBorder="1" applyAlignment="1">
      <alignment horizontal="right"/>
    </xf>
    <xf numFmtId="0" fontId="7" fillId="0" borderId="1" xfId="0" applyFont="1" applyBorder="1" applyAlignment="1">
      <alignment horizontal="left" wrapText="1"/>
    </xf>
    <xf numFmtId="0" fontId="0" fillId="0" borderId="0" xfId="0"/>
    <xf numFmtId="165" fontId="0" fillId="7" borderId="29" xfId="0" applyNumberFormat="1" applyFont="1" applyFill="1" applyBorder="1" applyAlignment="1">
      <alignment horizontal="right"/>
    </xf>
    <xf numFmtId="0" fontId="0" fillId="0" borderId="0" xfId="0"/>
    <xf numFmtId="173" fontId="0" fillId="0" borderId="3" xfId="0" applyNumberFormat="1" applyBorder="1"/>
    <xf numFmtId="173" fontId="7" fillId="0" borderId="1" xfId="0" applyNumberFormat="1" applyFont="1" applyBorder="1" applyAlignment="1">
      <alignment vertical="center"/>
    </xf>
    <xf numFmtId="173" fontId="0" fillId="0" borderId="1" xfId="0" applyNumberFormat="1" applyFont="1" applyBorder="1" applyAlignment="1"/>
    <xf numFmtId="0" fontId="0" fillId="0" borderId="0" xfId="0"/>
    <xf numFmtId="0" fontId="0" fillId="0" borderId="0" xfId="0"/>
    <xf numFmtId="4" fontId="0" fillId="0" borderId="26" xfId="0" applyNumberFormat="1" applyBorder="1"/>
    <xf numFmtId="4" fontId="0" fillId="0" borderId="27" xfId="0" applyNumberFormat="1" applyBorder="1"/>
    <xf numFmtId="167" fontId="13" fillId="0" borderId="0" xfId="0" applyNumberFormat="1" applyFont="1" applyFill="1" applyBorder="1" applyAlignment="1"/>
    <xf numFmtId="167" fontId="8" fillId="0" borderId="0" xfId="0" applyNumberFormat="1" applyFont="1" applyFill="1" applyBorder="1" applyAlignment="1"/>
    <xf numFmtId="167" fontId="0" fillId="0" borderId="0" xfId="0" applyNumberFormat="1"/>
    <xf numFmtId="167" fontId="0" fillId="0" borderId="26" xfId="0" applyNumberFormat="1" applyBorder="1"/>
    <xf numFmtId="167" fontId="0" fillId="0" borderId="25" xfId="0" applyNumberFormat="1" applyBorder="1"/>
    <xf numFmtId="167" fontId="0" fillId="0" borderId="21" xfId="0" applyNumberFormat="1" applyBorder="1"/>
    <xf numFmtId="4" fontId="0" fillId="0" borderId="31" xfId="0" applyNumberFormat="1" applyBorder="1"/>
    <xf numFmtId="167" fontId="0" fillId="0" borderId="24" xfId="0" applyNumberFormat="1" applyBorder="1"/>
    <xf numFmtId="3" fontId="8" fillId="0" borderId="0" xfId="0" applyNumberFormat="1" applyFont="1" applyFill="1" applyBorder="1"/>
    <xf numFmtId="3" fontId="0" fillId="0" borderId="0" xfId="0" applyNumberFormat="1" applyFont="1"/>
    <xf numFmtId="3" fontId="0" fillId="0" borderId="26" xfId="0" applyNumberFormat="1" applyFont="1" applyBorder="1"/>
    <xf numFmtId="3" fontId="0" fillId="0" borderId="31" xfId="0" applyNumberFormat="1" applyFont="1" applyBorder="1"/>
    <xf numFmtId="3" fontId="0" fillId="0" borderId="18" xfId="0" applyNumberFormat="1" applyFont="1" applyBorder="1"/>
    <xf numFmtId="179" fontId="13" fillId="0" borderId="0" xfId="0" applyNumberFormat="1" applyFont="1" applyFill="1" applyBorder="1" applyAlignment="1"/>
    <xf numFmtId="179" fontId="0" fillId="0" borderId="26" xfId="0" applyNumberFormat="1" applyBorder="1"/>
    <xf numFmtId="179" fontId="0" fillId="0" borderId="25" xfId="0" applyNumberFormat="1" applyBorder="1"/>
    <xf numFmtId="179" fontId="0" fillId="0" borderId="21" xfId="0" applyNumberFormat="1" applyBorder="1"/>
    <xf numFmtId="4" fontId="8" fillId="0" borderId="0" xfId="0" applyNumberFormat="1" applyFont="1" applyFill="1" applyBorder="1"/>
    <xf numFmtId="4" fontId="0" fillId="0" borderId="0" xfId="0" applyNumberFormat="1" applyFont="1"/>
    <xf numFmtId="4" fontId="0" fillId="0" borderId="26" xfId="0" applyNumberFormat="1" applyFont="1" applyBorder="1"/>
    <xf numFmtId="4" fontId="0" fillId="0" borderId="31" xfId="0" applyNumberFormat="1" applyFont="1" applyBorder="1"/>
    <xf numFmtId="4" fontId="0" fillId="0" borderId="18" xfId="0" applyNumberFormat="1" applyFont="1" applyBorder="1"/>
    <xf numFmtId="180" fontId="13" fillId="0" borderId="0" xfId="0" applyNumberFormat="1" applyFont="1" applyFill="1" applyBorder="1" applyAlignment="1"/>
    <xf numFmtId="180" fontId="0" fillId="0" borderId="0" xfId="0" applyNumberFormat="1"/>
    <xf numFmtId="180" fontId="0" fillId="0" borderId="26" xfId="0" applyNumberFormat="1" applyBorder="1"/>
    <xf numFmtId="180" fontId="0" fillId="0" borderId="27" xfId="0" applyNumberFormat="1" applyBorder="1"/>
    <xf numFmtId="165" fontId="8" fillId="0" borderId="0" xfId="0" applyNumberFormat="1" applyFont="1" applyFill="1" applyBorder="1"/>
    <xf numFmtId="165" fontId="0" fillId="0" borderId="26" xfId="0" applyNumberFormat="1" applyBorder="1"/>
    <xf numFmtId="165" fontId="0" fillId="0" borderId="27" xfId="0" applyNumberFormat="1" applyBorder="1"/>
    <xf numFmtId="179" fontId="0" fillId="0" borderId="27" xfId="0" applyNumberFormat="1" applyBorder="1"/>
    <xf numFmtId="179" fontId="0" fillId="0" borderId="24" xfId="0" applyNumberFormat="1" applyBorder="1"/>
    <xf numFmtId="0" fontId="2" fillId="1" borderId="34" xfId="0" applyFont="1" applyFill="1" applyBorder="1"/>
    <xf numFmtId="3" fontId="0" fillId="1" borderId="0" xfId="0" applyNumberFormat="1" applyFill="1"/>
    <xf numFmtId="10" fontId="0" fillId="1" borderId="18" xfId="0" applyNumberFormat="1" applyFill="1" applyBorder="1"/>
    <xf numFmtId="3" fontId="0" fillId="1" borderId="5" xfId="0" applyNumberFormat="1" applyFill="1" applyBorder="1" applyAlignment="1">
      <alignment horizontal="right"/>
    </xf>
    <xf numFmtId="0" fontId="8" fillId="13" borderId="1" xfId="1" applyFont="1" applyFill="1" applyBorder="1" applyAlignment="1">
      <alignment horizontal="center" vertical="center"/>
    </xf>
    <xf numFmtId="3" fontId="8" fillId="1" borderId="1" xfId="3" applyNumberFormat="1" applyFont="1" applyFill="1" applyBorder="1" applyAlignment="1">
      <alignment vertical="center"/>
    </xf>
    <xf numFmtId="10" fontId="1" fillId="1" borderId="1" xfId="0" applyNumberFormat="1" applyFont="1" applyFill="1" applyBorder="1" applyAlignment="1"/>
    <xf numFmtId="0" fontId="1" fillId="2" borderId="15" xfId="0" applyFont="1" applyFill="1" applyBorder="1" applyAlignment="1">
      <alignment horizontal="center"/>
    </xf>
    <xf numFmtId="0" fontId="0" fillId="0" borderId="0" xfId="0"/>
    <xf numFmtId="0" fontId="0" fillId="2" borderId="20" xfId="0" applyFont="1" applyFill="1" applyBorder="1" applyAlignment="1">
      <alignment horizontal="center"/>
    </xf>
    <xf numFmtId="0" fontId="0" fillId="0" borderId="0" xfId="0"/>
    <xf numFmtId="168" fontId="2" fillId="0" borderId="9" xfId="0" applyNumberFormat="1" applyFont="1" applyBorder="1" applyAlignment="1">
      <alignment horizontal="left"/>
    </xf>
    <xf numFmtId="165" fontId="8" fillId="1" borderId="22" xfId="0" applyNumberFormat="1" applyFont="1" applyFill="1" applyBorder="1"/>
    <xf numFmtId="170" fontId="8" fillId="8" borderId="20" xfId="0" applyNumberFormat="1" applyFont="1" applyFill="1" applyBorder="1"/>
    <xf numFmtId="170" fontId="8" fillId="9" borderId="1" xfId="0" applyNumberFormat="1" applyFont="1" applyFill="1" applyBorder="1"/>
    <xf numFmtId="170" fontId="8" fillId="9" borderId="23" xfId="0" applyNumberFormat="1" applyFont="1" applyFill="1" applyBorder="1"/>
    <xf numFmtId="170" fontId="8" fillId="0" borderId="3" xfId="0" applyNumberFormat="1" applyFont="1" applyFill="1" applyBorder="1"/>
    <xf numFmtId="170" fontId="8" fillId="1" borderId="1" xfId="0" applyNumberFormat="1" applyFont="1" applyFill="1" applyBorder="1"/>
    <xf numFmtId="170" fontId="8" fillId="11" borderId="3" xfId="0" applyNumberFormat="1" applyFont="1" applyFill="1" applyBorder="1"/>
    <xf numFmtId="170" fontId="8" fillId="1" borderId="22" xfId="0" applyNumberFormat="1" applyFont="1" applyFill="1" applyBorder="1"/>
    <xf numFmtId="170" fontId="8" fillId="7" borderId="22" xfId="0" applyNumberFormat="1" applyFont="1" applyFill="1" applyBorder="1"/>
    <xf numFmtId="170" fontId="8" fillId="7" borderId="1" xfId="0" applyNumberFormat="1" applyFont="1" applyFill="1" applyBorder="1"/>
    <xf numFmtId="170" fontId="8" fillId="7" borderId="23" xfId="0" applyNumberFormat="1" applyFont="1" applyFill="1" applyBorder="1"/>
    <xf numFmtId="3" fontId="8" fillId="7" borderId="1" xfId="0" applyNumberFormat="1" applyFont="1" applyFill="1" applyBorder="1"/>
    <xf numFmtId="3" fontId="8" fillId="7" borderId="22" xfId="0" applyNumberFormat="1" applyFont="1" applyFill="1" applyBorder="1"/>
    <xf numFmtId="3" fontId="8" fillId="7" borderId="23" xfId="0" applyNumberFormat="1" applyFont="1" applyFill="1" applyBorder="1"/>
    <xf numFmtId="170" fontId="1" fillId="7" borderId="1" xfId="0" applyNumberFormat="1" applyFont="1" applyFill="1" applyBorder="1"/>
    <xf numFmtId="0" fontId="17" fillId="0" borderId="0" xfId="0" applyFont="1" applyFill="1" applyAlignment="1">
      <alignment wrapText="1"/>
    </xf>
    <xf numFmtId="0" fontId="0" fillId="0" borderId="0" xfId="0" applyAlignment="1">
      <alignment wrapText="1"/>
    </xf>
    <xf numFmtId="0" fontId="0" fillId="0" borderId="0" xfId="0" applyFill="1" applyBorder="1" applyAlignment="1">
      <alignment wrapText="1"/>
    </xf>
    <xf numFmtId="0" fontId="45" fillId="0" borderId="0" xfId="0" applyFont="1" applyFill="1" applyAlignment="1">
      <alignment wrapText="1"/>
    </xf>
    <xf numFmtId="0" fontId="0" fillId="2" borderId="29"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2" fillId="0" borderId="0" xfId="0" applyFont="1" applyFill="1" applyAlignment="1">
      <alignment wrapText="1"/>
    </xf>
    <xf numFmtId="0" fontId="0" fillId="0" borderId="2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1" xfId="0" applyBorder="1" applyAlignment="1">
      <alignment wrapText="1"/>
    </xf>
    <xf numFmtId="4" fontId="1" fillId="0" borderId="2" xfId="0" applyNumberFormat="1" applyFont="1" applyBorder="1"/>
    <xf numFmtId="4" fontId="1" fillId="0" borderId="20" xfId="0" applyNumberFormat="1" applyFont="1" applyBorder="1"/>
    <xf numFmtId="0" fontId="0" fillId="2" borderId="56" xfId="0" applyFont="1" applyFill="1" applyBorder="1" applyAlignment="1">
      <alignment horizontal="left"/>
    </xf>
    <xf numFmtId="0" fontId="1" fillId="2" borderId="0" xfId="0" applyFont="1" applyFill="1" applyBorder="1" applyAlignment="1">
      <alignment horizontal="left"/>
    </xf>
    <xf numFmtId="0" fontId="1" fillId="2" borderId="57" xfId="0" applyFont="1" applyFill="1" applyBorder="1" applyAlignment="1">
      <alignment horizontal="left"/>
    </xf>
    <xf numFmtId="0" fontId="0" fillId="2" borderId="64" xfId="0" applyFont="1" applyFill="1" applyBorder="1" applyAlignment="1">
      <alignment horizontal="left"/>
    </xf>
    <xf numFmtId="0" fontId="1" fillId="2" borderId="18" xfId="0" applyFont="1" applyFill="1" applyBorder="1" applyAlignment="1">
      <alignment horizontal="left"/>
    </xf>
    <xf numFmtId="0" fontId="1" fillId="2" borderId="35" xfId="0" applyFont="1" applyFill="1" applyBorder="1" applyAlignment="1">
      <alignment horizontal="left"/>
    </xf>
    <xf numFmtId="170" fontId="1" fillId="0" borderId="2" xfId="0" applyNumberFormat="1" applyFont="1" applyBorder="1"/>
    <xf numFmtId="170" fontId="1" fillId="0" borderId="15" xfId="0" applyNumberFormat="1" applyFont="1" applyBorder="1"/>
    <xf numFmtId="170" fontId="1" fillId="0" borderId="20" xfId="0" applyNumberFormat="1" applyFont="1" applyBorder="1"/>
    <xf numFmtId="0" fontId="0" fillId="0" borderId="0" xfId="0" applyFont="1" applyAlignment="1">
      <alignment wrapText="1"/>
    </xf>
    <xf numFmtId="3" fontId="1" fillId="0" borderId="2" xfId="0" applyNumberFormat="1" applyFont="1" applyBorder="1"/>
    <xf numFmtId="3" fontId="1" fillId="0" borderId="20" xfId="0" applyNumberFormat="1" applyFont="1" applyBorder="1"/>
    <xf numFmtId="0" fontId="0" fillId="2" borderId="2" xfId="0" applyFont="1" applyFill="1" applyBorder="1" applyAlignment="1">
      <alignment horizontal="center"/>
    </xf>
    <xf numFmtId="0" fontId="1" fillId="2" borderId="15" xfId="0" applyFont="1" applyFill="1" applyBorder="1" applyAlignment="1">
      <alignment horizontal="center"/>
    </xf>
    <xf numFmtId="0" fontId="1" fillId="2" borderId="20" xfId="0" applyFont="1" applyFill="1" applyBorder="1" applyAlignment="1">
      <alignment horizontal="center"/>
    </xf>
    <xf numFmtId="0" fontId="0" fillId="2" borderId="50" xfId="0" applyFont="1" applyFill="1" applyBorder="1" applyAlignment="1">
      <alignment horizontal="left"/>
    </xf>
    <xf numFmtId="0" fontId="1" fillId="2" borderId="21" xfId="0" applyFont="1" applyFill="1" applyBorder="1" applyAlignment="1">
      <alignment horizontal="left"/>
    </xf>
    <xf numFmtId="0" fontId="1" fillId="2" borderId="51" xfId="0" applyFont="1" applyFill="1" applyBorder="1" applyAlignment="1">
      <alignment horizontal="left"/>
    </xf>
    <xf numFmtId="0" fontId="0" fillId="2" borderId="29" xfId="0" applyFont="1" applyFill="1" applyBorder="1" applyAlignment="1">
      <alignment horizontal="left" vertical="center"/>
    </xf>
    <xf numFmtId="0" fontId="0" fillId="2" borderId="30" xfId="0" applyFont="1" applyFill="1" applyBorder="1" applyAlignment="1">
      <alignment horizontal="left" vertical="center"/>
    </xf>
    <xf numFmtId="0" fontId="0" fillId="2" borderId="11" xfId="0" applyFont="1" applyFill="1" applyBorder="1" applyAlignment="1">
      <alignment horizontal="left" vertical="center"/>
    </xf>
    <xf numFmtId="0" fontId="1" fillId="2" borderId="29" xfId="0" applyFont="1" applyFill="1" applyBorder="1" applyAlignment="1">
      <alignment horizontal="center"/>
    </xf>
    <xf numFmtId="0" fontId="1" fillId="2" borderId="30" xfId="0" applyFont="1" applyFill="1" applyBorder="1" applyAlignment="1">
      <alignment horizontal="center"/>
    </xf>
    <xf numFmtId="0" fontId="1" fillId="2" borderId="11" xfId="0" applyFont="1" applyFill="1" applyBorder="1" applyAlignment="1">
      <alignment horizontal="center"/>
    </xf>
    <xf numFmtId="0" fontId="7" fillId="0" borderId="0" xfId="0" applyFont="1" applyAlignment="1">
      <alignment wrapText="1"/>
    </xf>
    <xf numFmtId="0" fontId="0" fillId="0" borderId="18" xfId="0" applyBorder="1" applyAlignment="1">
      <alignment wrapText="1"/>
    </xf>
    <xf numFmtId="0" fontId="0" fillId="0" borderId="0" xfId="0" applyFont="1" applyFill="1" applyBorder="1" applyAlignment="1">
      <alignment wrapText="1"/>
    </xf>
    <xf numFmtId="0" fontId="0" fillId="0" borderId="18" xfId="0" applyFont="1" applyFill="1" applyBorder="1" applyAlignment="1">
      <alignment wrapText="1"/>
    </xf>
    <xf numFmtId="0" fontId="0" fillId="0" borderId="0" xfId="0" applyFont="1" applyFill="1" applyAlignment="1">
      <alignment wrapText="1"/>
    </xf>
    <xf numFmtId="0" fontId="0" fillId="0" borderId="18" xfId="0" applyFont="1" applyBorder="1" applyAlignment="1">
      <alignment wrapText="1"/>
    </xf>
    <xf numFmtId="0" fontId="0" fillId="0" borderId="0" xfId="0" applyFont="1" applyFill="1" applyBorder="1" applyAlignment="1">
      <alignment vertical="center" wrapText="1"/>
    </xf>
    <xf numFmtId="0" fontId="0" fillId="0" borderId="0" xfId="0"/>
    <xf numFmtId="0" fontId="2" fillId="0" borderId="79" xfId="0" applyFont="1" applyBorder="1" applyAlignment="1">
      <alignment horizontal="center" wrapText="1"/>
    </xf>
    <xf numFmtId="0" fontId="2" fillId="0" borderId="32" xfId="0" applyFont="1" applyBorder="1" applyAlignment="1">
      <alignment horizontal="center" wrapText="1"/>
    </xf>
    <xf numFmtId="0" fontId="2" fillId="0" borderId="80" xfId="0" applyFont="1" applyBorder="1" applyAlignment="1">
      <alignment horizontal="center" wrapText="1"/>
    </xf>
    <xf numFmtId="0" fontId="2" fillId="0" borderId="81" xfId="0" applyFont="1" applyBorder="1" applyAlignment="1">
      <alignment horizontal="center" wrapText="1"/>
    </xf>
    <xf numFmtId="0" fontId="2" fillId="0" borderId="18" xfId="0" applyFont="1" applyBorder="1" applyAlignment="1">
      <alignment horizontal="center" wrapText="1"/>
    </xf>
    <xf numFmtId="0" fontId="2" fillId="0" borderId="82" xfId="0" applyFont="1" applyBorder="1" applyAlignment="1">
      <alignment horizontal="center" wrapText="1"/>
    </xf>
    <xf numFmtId="0" fontId="2" fillId="0" borderId="2" xfId="0" applyFont="1" applyFill="1" applyBorder="1" applyAlignment="1">
      <alignment horizontal="right" wrapText="1"/>
    </xf>
    <xf numFmtId="0" fontId="2" fillId="0" borderId="20" xfId="0" applyFont="1" applyFill="1" applyBorder="1" applyAlignment="1">
      <alignment horizontal="right" wrapText="1"/>
    </xf>
    <xf numFmtId="0" fontId="0" fillId="0" borderId="21" xfId="0" applyFont="1" applyFill="1" applyBorder="1" applyAlignment="1">
      <alignment vertical="top" wrapText="1"/>
    </xf>
    <xf numFmtId="0" fontId="0" fillId="0" borderId="0" xfId="0" applyFont="1" applyFill="1" applyBorder="1" applyAlignment="1">
      <alignment vertical="top" wrapText="1"/>
    </xf>
    <xf numFmtId="0" fontId="2" fillId="0" borderId="36" xfId="0" applyFont="1" applyBorder="1" applyAlignment="1">
      <alignment horizontal="center" wrapText="1"/>
    </xf>
    <xf numFmtId="0" fontId="2" fillId="0" borderId="15" xfId="0" applyFont="1" applyBorder="1" applyAlignment="1">
      <alignment horizontal="center" wrapText="1"/>
    </xf>
    <xf numFmtId="0" fontId="2" fillId="0" borderId="37" xfId="0" applyFont="1" applyBorder="1" applyAlignment="1">
      <alignment horizontal="center" wrapText="1"/>
    </xf>
    <xf numFmtId="0" fontId="0" fillId="0" borderId="0" xfId="0" applyFill="1" applyAlignment="1">
      <alignmen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168" fontId="0" fillId="0" borderId="70" xfId="0" applyNumberFormat="1" applyFont="1" applyFill="1" applyBorder="1" applyAlignment="1">
      <alignment horizontal="left" wrapText="1"/>
    </xf>
    <xf numFmtId="168" fontId="0" fillId="0" borderId="0" xfId="0" applyNumberFormat="1" applyFont="1" applyFill="1" applyBorder="1" applyAlignment="1">
      <alignment horizontal="left" wrapText="1"/>
    </xf>
    <xf numFmtId="0" fontId="0" fillId="0" borderId="0" xfId="0" applyBorder="1" applyAlignment="1">
      <alignment wrapText="1"/>
    </xf>
    <xf numFmtId="0" fontId="0" fillId="0" borderId="34" xfId="0" applyBorder="1" applyAlignment="1">
      <alignment wrapText="1"/>
    </xf>
    <xf numFmtId="168" fontId="0" fillId="0" borderId="0" xfId="0" applyNumberFormat="1" applyAlignment="1">
      <alignment wrapText="1"/>
    </xf>
    <xf numFmtId="168" fontId="0" fillId="0" borderId="34" xfId="0" applyNumberFormat="1" applyBorder="1" applyAlignment="1">
      <alignment wrapText="1"/>
    </xf>
    <xf numFmtId="0" fontId="0" fillId="0" borderId="0" xfId="0" applyFont="1" applyBorder="1" applyAlignment="1">
      <alignment vertical="top" wrapText="1"/>
    </xf>
    <xf numFmtId="0" fontId="0" fillId="0" borderId="0" xfId="0" applyAlignment="1">
      <alignment horizontal="left" wrapText="1" indent="1"/>
    </xf>
    <xf numFmtId="0" fontId="2" fillId="0" borderId="0" xfId="0" applyFont="1" applyAlignment="1">
      <alignment wrapText="1"/>
    </xf>
    <xf numFmtId="0" fontId="0" fillId="2" borderId="0" xfId="0" applyFill="1" applyBorder="1" applyAlignment="1">
      <alignment wrapText="1"/>
    </xf>
    <xf numFmtId="0" fontId="0" fillId="2" borderId="34" xfId="0" applyFill="1" applyBorder="1" applyAlignment="1">
      <alignment wrapText="1"/>
    </xf>
    <xf numFmtId="0" fontId="0" fillId="2" borderId="0" xfId="0" applyFill="1"/>
    <xf numFmtId="0" fontId="0" fillId="2" borderId="34" xfId="0" applyFill="1" applyBorder="1"/>
    <xf numFmtId="0" fontId="0" fillId="0" borderId="32" xfId="0" applyFill="1" applyBorder="1" applyAlignment="1">
      <alignment vertical="center" wrapText="1"/>
    </xf>
    <xf numFmtId="0" fontId="0" fillId="0" borderId="0" xfId="0" applyFill="1" applyAlignment="1">
      <alignment vertical="center" wrapText="1"/>
    </xf>
    <xf numFmtId="0" fontId="0" fillId="0" borderId="18" xfId="0" applyFill="1" applyBorder="1" applyAlignment="1">
      <alignment vertical="center" wrapText="1"/>
    </xf>
    <xf numFmtId="0" fontId="2" fillId="0" borderId="18" xfId="0" applyFont="1" applyBorder="1" applyAlignment="1">
      <alignment wrapText="1"/>
    </xf>
    <xf numFmtId="0" fontId="0" fillId="0" borderId="32" xfId="0" applyBorder="1" applyAlignment="1">
      <alignment wrapText="1"/>
    </xf>
    <xf numFmtId="0" fontId="0" fillId="2" borderId="0" xfId="0" applyFill="1" applyBorder="1"/>
    <xf numFmtId="0" fontId="0" fillId="2" borderId="2" xfId="0" applyFill="1" applyBorder="1" applyAlignment="1">
      <alignment horizontal="center" vertical="top" wrapText="1"/>
    </xf>
    <xf numFmtId="0" fontId="0" fillId="2" borderId="15" xfId="0" applyFill="1" applyBorder="1" applyAlignment="1">
      <alignment horizontal="center" vertical="top" wrapText="1"/>
    </xf>
    <xf numFmtId="0" fontId="0" fillId="2" borderId="20" xfId="0" applyFill="1" applyBorder="1" applyAlignment="1">
      <alignment horizontal="center" vertical="top" wrapText="1"/>
    </xf>
    <xf numFmtId="0" fontId="30" fillId="3" borderId="29" xfId="0" applyFont="1" applyFill="1" applyBorder="1" applyAlignment="1">
      <alignment horizontal="center" vertical="center"/>
    </xf>
    <xf numFmtId="0" fontId="30" fillId="3" borderId="16" xfId="0" applyFont="1" applyFill="1" applyBorder="1" applyAlignment="1">
      <alignment horizontal="center" vertical="center"/>
    </xf>
    <xf numFmtId="0" fontId="1" fillId="2" borderId="29" xfId="0" applyFont="1" applyFill="1" applyBorder="1" applyAlignment="1">
      <alignment horizontal="left" vertical="center"/>
    </xf>
    <xf numFmtId="0" fontId="1" fillId="2" borderId="11" xfId="0" applyFont="1" applyFill="1" applyBorder="1" applyAlignment="1">
      <alignment horizontal="left" vertical="center"/>
    </xf>
    <xf numFmtId="0" fontId="8" fillId="2" borderId="29"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2" fillId="2" borderId="29" xfId="0" applyFont="1" applyFill="1" applyBorder="1" applyAlignment="1">
      <alignment horizontal="left" vertical="center"/>
    </xf>
    <xf numFmtId="0" fontId="2" fillId="2" borderId="11" xfId="0" applyFont="1" applyFill="1" applyBorder="1" applyAlignment="1">
      <alignment horizontal="left" vertical="center"/>
    </xf>
    <xf numFmtId="0" fontId="1" fillId="2" borderId="29" xfId="0" applyFont="1" applyFill="1" applyBorder="1" applyAlignment="1">
      <alignment vertical="center" wrapText="1"/>
    </xf>
    <xf numFmtId="0" fontId="1" fillId="2" borderId="11" xfId="0" applyFont="1" applyFill="1" applyBorder="1" applyAlignment="1">
      <alignment vertical="center" wrapText="1"/>
    </xf>
    <xf numFmtId="0" fontId="8" fillId="2" borderId="1"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51"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56" xfId="0" applyFont="1" applyFill="1" applyBorder="1" applyAlignment="1">
      <alignment horizontal="center" vertical="center"/>
    </xf>
    <xf numFmtId="0" fontId="0" fillId="2" borderId="57" xfId="0" applyFont="1" applyFill="1" applyBorder="1" applyAlignment="1">
      <alignment horizontal="center" vertical="center"/>
    </xf>
    <xf numFmtId="0" fontId="0" fillId="2" borderId="0" xfId="0" applyFont="1" applyFill="1" applyBorder="1" applyAlignment="1">
      <alignment horizontal="center" vertical="center"/>
    </xf>
    <xf numFmtId="0" fontId="2" fillId="0" borderId="0" xfId="0" applyFont="1" applyBorder="1" applyAlignment="1">
      <alignment wrapText="1"/>
    </xf>
    <xf numFmtId="0" fontId="30" fillId="2" borderId="1" xfId="0" applyFont="1" applyFill="1" applyBorder="1" applyAlignment="1">
      <alignment horizontal="left" vertical="center" wrapText="1"/>
    </xf>
    <xf numFmtId="173" fontId="0" fillId="0" borderId="29" xfId="0" applyNumberFormat="1" applyBorder="1" applyAlignment="1">
      <alignment horizontal="right" vertical="center"/>
    </xf>
    <xf numFmtId="173" fontId="0" fillId="0" borderId="30" xfId="0" applyNumberFormat="1" applyBorder="1" applyAlignment="1">
      <alignment horizontal="right" vertical="center"/>
    </xf>
    <xf numFmtId="173" fontId="0" fillId="0" borderId="11" xfId="0" applyNumberFormat="1" applyBorder="1" applyAlignment="1">
      <alignment horizontal="right"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41" xfId="0" applyFill="1" applyBorder="1" applyAlignment="1">
      <alignment horizontal="left" vertical="center"/>
    </xf>
    <xf numFmtId="0" fontId="0" fillId="2" borderId="11" xfId="0" applyFill="1" applyBorder="1" applyAlignment="1">
      <alignment horizontal="left" vertical="center"/>
    </xf>
    <xf numFmtId="0" fontId="0" fillId="2" borderId="29" xfId="0" applyFill="1" applyBorder="1" applyAlignment="1">
      <alignment horizontal="left" vertical="center" wrapText="1"/>
    </xf>
    <xf numFmtId="0" fontId="0" fillId="2" borderId="30" xfId="0" applyFill="1" applyBorder="1" applyAlignment="1">
      <alignment horizontal="left" vertical="center" wrapText="1"/>
    </xf>
    <xf numFmtId="0" fontId="0" fillId="2" borderId="11" xfId="0" applyFill="1" applyBorder="1" applyAlignment="1">
      <alignment horizontal="left" vertical="center" wrapText="1"/>
    </xf>
    <xf numFmtId="173" fontId="0" fillId="7" borderId="29" xfId="0" applyNumberFormat="1" applyFill="1" applyBorder="1" applyAlignment="1">
      <alignment horizontal="right" vertical="center"/>
    </xf>
    <xf numFmtId="173" fontId="0" fillId="7" borderId="30" xfId="0" applyNumberFormat="1" applyFill="1" applyBorder="1" applyAlignment="1">
      <alignment horizontal="right" vertical="center"/>
    </xf>
    <xf numFmtId="173" fontId="0" fillId="7" borderId="11" xfId="0" applyNumberFormat="1" applyFill="1" applyBorder="1" applyAlignment="1">
      <alignment horizontal="right" vertical="center"/>
    </xf>
    <xf numFmtId="0" fontId="0" fillId="2" borderId="29" xfId="0" applyFill="1" applyBorder="1" applyAlignment="1">
      <alignment horizontal="left" vertical="center"/>
    </xf>
    <xf numFmtId="0" fontId="0" fillId="2" borderId="49" xfId="0" applyFill="1" applyBorder="1" applyAlignment="1">
      <alignment horizontal="left" vertical="center"/>
    </xf>
    <xf numFmtId="0" fontId="0" fillId="2" borderId="67" xfId="0" applyFill="1" applyBorder="1" applyAlignment="1">
      <alignment horizontal="left" vertical="center"/>
    </xf>
    <xf numFmtId="2" fontId="8" fillId="0" borderId="0" xfId="1" applyNumberFormat="1" applyFont="1" applyFill="1" applyBorder="1" applyAlignment="1">
      <alignment horizontal="left" vertical="center" wrapText="1"/>
    </xf>
    <xf numFmtId="0" fontId="8" fillId="2" borderId="50" xfId="1" applyFont="1" applyFill="1" applyBorder="1" applyAlignment="1">
      <alignment vertical="center"/>
    </xf>
    <xf numFmtId="0" fontId="8" fillId="2" borderId="64" xfId="1" applyFont="1" applyFill="1" applyBorder="1" applyAlignment="1">
      <alignment vertical="center"/>
    </xf>
    <xf numFmtId="0" fontId="5" fillId="0" borderId="0" xfId="1" applyFont="1" applyFill="1" applyBorder="1" applyAlignment="1">
      <alignment vertical="center" wrapText="1"/>
    </xf>
    <xf numFmtId="0" fontId="5" fillId="0" borderId="18" xfId="1" applyFont="1" applyFill="1" applyBorder="1" applyAlignment="1">
      <alignment vertical="center" wrapText="1"/>
    </xf>
    <xf numFmtId="0" fontId="30" fillId="3" borderId="1" xfId="0" applyFont="1" applyFill="1" applyBorder="1" applyAlignment="1">
      <alignment horizontal="center" vertical="center"/>
    </xf>
    <xf numFmtId="0" fontId="30" fillId="3" borderId="8" xfId="0" applyFont="1" applyFill="1" applyBorder="1" applyAlignment="1">
      <alignment horizontal="center" vertical="center"/>
    </xf>
    <xf numFmtId="0" fontId="8" fillId="2" borderId="50" xfId="1" applyFont="1" applyFill="1" applyBorder="1" applyAlignment="1">
      <alignment horizontal="center" vertical="center"/>
    </xf>
    <xf numFmtId="0" fontId="8" fillId="2" borderId="64" xfId="1" applyFont="1" applyFill="1" applyBorder="1" applyAlignment="1">
      <alignment horizontal="center" vertical="center"/>
    </xf>
    <xf numFmtId="0" fontId="0" fillId="0" borderId="56" xfId="0" applyFont="1" applyFill="1" applyBorder="1" applyAlignment="1">
      <alignment wrapText="1"/>
    </xf>
    <xf numFmtId="0" fontId="0" fillId="0" borderId="0" xfId="0" applyFont="1" applyBorder="1" applyAlignment="1">
      <alignment wrapText="1"/>
    </xf>
    <xf numFmtId="0" fontId="8" fillId="2" borderId="50" xfId="1" applyFont="1" applyFill="1" applyBorder="1" applyAlignment="1">
      <alignment vertical="center" wrapText="1"/>
    </xf>
    <xf numFmtId="0" fontId="1" fillId="2" borderId="29" xfId="4" applyFont="1" applyFill="1" applyBorder="1" applyAlignment="1">
      <alignment horizontal="center"/>
    </xf>
    <xf numFmtId="0" fontId="1" fillId="2" borderId="30" xfId="4" applyFont="1" applyFill="1" applyBorder="1" applyAlignment="1">
      <alignment horizontal="center"/>
    </xf>
    <xf numFmtId="0" fontId="1" fillId="2" borderId="11" xfId="4" applyFont="1" applyFill="1" applyBorder="1" applyAlignment="1">
      <alignment horizontal="center"/>
    </xf>
    <xf numFmtId="0" fontId="1" fillId="2" borderId="1" xfId="4" applyFont="1" applyFill="1" applyBorder="1" applyAlignment="1">
      <alignment horizontal="center"/>
    </xf>
    <xf numFmtId="0" fontId="8" fillId="0" borderId="0" xfId="4" applyFont="1" applyFill="1" applyBorder="1" applyAlignment="1">
      <alignment wrapText="1"/>
    </xf>
    <xf numFmtId="0" fontId="0" fillId="2" borderId="2" xfId="4" applyFont="1" applyFill="1" applyBorder="1" applyAlignment="1">
      <alignment horizontal="center" vertical="center" wrapText="1"/>
    </xf>
    <xf numFmtId="0" fontId="0" fillId="2" borderId="20" xfId="4" applyFont="1" applyFill="1" applyBorder="1" applyAlignment="1">
      <alignment horizontal="center" vertical="center" wrapText="1"/>
    </xf>
    <xf numFmtId="0" fontId="0" fillId="2" borderId="2" xfId="4" applyFont="1" applyFill="1" applyBorder="1" applyAlignment="1">
      <alignment horizontal="center"/>
    </xf>
    <xf numFmtId="0" fontId="0" fillId="2" borderId="15" xfId="4" applyFont="1" applyFill="1" applyBorder="1" applyAlignment="1">
      <alignment horizontal="center"/>
    </xf>
    <xf numFmtId="0" fontId="0" fillId="2" borderId="20" xfId="4" applyFont="1" applyFill="1" applyBorder="1" applyAlignment="1">
      <alignment horizontal="center"/>
    </xf>
    <xf numFmtId="0" fontId="1" fillId="2" borderId="15" xfId="4" applyFont="1" applyFill="1" applyBorder="1" applyAlignment="1">
      <alignment horizontal="center"/>
    </xf>
    <xf numFmtId="0" fontId="1" fillId="2" borderId="20" xfId="4" applyFont="1" applyFill="1" applyBorder="1" applyAlignment="1">
      <alignment horizontal="center"/>
    </xf>
    <xf numFmtId="0" fontId="0" fillId="2" borderId="1" xfId="4" applyFont="1" applyFill="1" applyBorder="1" applyAlignment="1">
      <alignment horizontal="center" vertical="center" wrapText="1"/>
    </xf>
    <xf numFmtId="0" fontId="0" fillId="2" borderId="15" xfId="4" applyFont="1" applyFill="1" applyBorder="1" applyAlignment="1">
      <alignment horizontal="center" vertical="center" wrapText="1"/>
    </xf>
    <xf numFmtId="0" fontId="0" fillId="2" borderId="20" xfId="0" applyFont="1" applyFill="1" applyBorder="1" applyAlignment="1">
      <alignment horizontal="center"/>
    </xf>
    <xf numFmtId="4" fontId="1" fillId="0" borderId="73" xfId="0" applyNumberFormat="1" applyFont="1" applyBorder="1"/>
    <xf numFmtId="4" fontId="1" fillId="0" borderId="74" xfId="0" applyNumberFormat="1" applyFont="1" applyBorder="1"/>
    <xf numFmtId="4" fontId="2" fillId="0" borderId="64" xfId="0" applyNumberFormat="1" applyFont="1" applyBorder="1"/>
    <xf numFmtId="4" fontId="2" fillId="0" borderId="35" xfId="0" applyNumberFormat="1" applyFont="1" applyBorder="1"/>
  </cellXfs>
  <cellStyles count="6">
    <cellStyle name="Hiperłącze" xfId="5" builtinId="8"/>
    <cellStyle name="Normalny" xfId="0" builtinId="0"/>
    <cellStyle name="Normalny 2" xfId="1"/>
    <cellStyle name="Normalny 3" xfId="4"/>
    <cellStyle name="Założenia" xfId="2"/>
    <cellStyle name="Złe 2" xfId="3"/>
  </cellStyles>
  <dxfs count="0"/>
  <tableStyles count="0" defaultTableStyle="TableStyleMedium2" defaultPivotStyle="PivotStyleLight16"/>
  <colors>
    <mruColors>
      <color rgb="FFFF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95250</xdr:colOff>
      <xdr:row>17</xdr:row>
      <xdr:rowOff>0</xdr:rowOff>
    </xdr:from>
    <xdr:to>
      <xdr:col>18</xdr:col>
      <xdr:colOff>479250</xdr:colOff>
      <xdr:row>30</xdr:row>
      <xdr:rowOff>43500</xdr:rowOff>
    </xdr:to>
    <xdr:sp macro="" textlink="">
      <xdr:nvSpPr>
        <xdr:cNvPr id="3" name="pole tekstowe 2"/>
        <xdr:cNvSpPr txBox="1"/>
      </xdr:nvSpPr>
      <xdr:spPr>
        <a:xfrm>
          <a:off x="5038725" y="3352800"/>
          <a:ext cx="6480000" cy="2520000"/>
        </a:xfrm>
        <a:prstGeom prst="rect">
          <a:avLst/>
        </a:prstGeom>
        <a:solidFill>
          <a:srgbClr val="FFFF00"/>
        </a:solidFill>
        <a:ln w="38100" cmpd="dbl">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solidFill>
                <a:schemeClr val="dk1"/>
              </a:solidFill>
              <a:effectLst/>
              <a:latin typeface="+mn-lt"/>
              <a:ea typeface="+mn-ea"/>
              <a:cs typeface="+mn-cs"/>
            </a:rPr>
            <a:t>Zmiany względem wersji pliku z dnia </a:t>
          </a:r>
          <a:r>
            <a:rPr lang="pl-PL" sz="1100" u="sng">
              <a:solidFill>
                <a:schemeClr val="dk1"/>
              </a:solidFill>
              <a:effectLst/>
              <a:latin typeface="+mn-lt"/>
              <a:ea typeface="+mn-ea"/>
              <a:cs typeface="+mn-cs"/>
            </a:rPr>
            <a:t>22.05.2023</a:t>
          </a:r>
          <a:r>
            <a:rPr lang="pl-PL" sz="1100">
              <a:solidFill>
                <a:schemeClr val="dk1"/>
              </a:solidFill>
              <a:effectLst/>
              <a:latin typeface="+mn-lt"/>
              <a:ea typeface="+mn-ea"/>
              <a:cs typeface="+mn-cs"/>
            </a:rPr>
            <a:t> (opublikowanego na stronie CUPT): </a:t>
          </a:r>
        </a:p>
        <a:p>
          <a:pPr marL="0" marR="0" lvl="0" indent="0" defTabSz="914400" eaLnBrk="1" fontAlgn="auto" latinLnBrk="0" hangingPunct="1">
            <a:lnSpc>
              <a:spcPct val="100000"/>
            </a:lnSpc>
            <a:spcBef>
              <a:spcPts val="0"/>
            </a:spcBef>
            <a:spcAft>
              <a:spcPts val="0"/>
            </a:spcAft>
            <a:buClrTx/>
            <a:buSzTx/>
            <a:buFontTx/>
            <a:buNone/>
            <a:tabLst/>
            <a:defRPr/>
          </a:pPr>
          <a:r>
            <a:rPr lang="pl-PL" sz="1100" i="0">
              <a:solidFill>
                <a:schemeClr val="dk1"/>
              </a:solidFill>
              <a:effectLst/>
              <a:latin typeface="+mn-lt"/>
              <a:ea typeface="+mn-ea"/>
              <a:cs typeface="+mn-cs"/>
            </a:rPr>
            <a:t>- Zmiana roku bazowego na 2024 </a:t>
          </a:r>
          <a:endParaRPr lang="pl-P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pl-PL" sz="1100" i="0">
              <a:solidFill>
                <a:schemeClr val="dk1"/>
              </a:solidFill>
              <a:effectLst/>
              <a:latin typeface="+mn-lt"/>
              <a:ea typeface="+mn-ea"/>
              <a:cs typeface="+mn-cs"/>
            </a:rPr>
            <a:t>- Aktualizacja szacunku PKB za rok 2022 wg GUS </a:t>
          </a:r>
          <a:endParaRPr lang="pl-PL">
            <a:effectLst/>
          </a:endParaRPr>
        </a:p>
        <a:p>
          <a:r>
            <a:rPr lang="pl-PL" sz="1100" i="0">
              <a:solidFill>
                <a:sysClr val="windowText" lastClr="000000"/>
              </a:solidFill>
              <a:effectLst/>
              <a:latin typeface="+mn-lt"/>
              <a:ea typeface="+mn-ea"/>
              <a:cs typeface="+mn-cs"/>
            </a:rPr>
            <a:t>- Uwzględnienie szacunku PKB za rok 2023 wg GUS </a:t>
          </a:r>
        </a:p>
        <a:p>
          <a:r>
            <a:rPr lang="pl-PL" sz="1100" i="0">
              <a:solidFill>
                <a:sysClr val="windowText" lastClr="000000"/>
              </a:solidFill>
              <a:effectLst/>
              <a:latin typeface="+mn-lt"/>
              <a:ea typeface="+mn-ea"/>
              <a:cs typeface="+mn-cs"/>
            </a:rPr>
            <a:t>- Uwzględnienie liczby ludności Polski na koniec 2023 (potrzebne do wskaźników PKB per capita) </a:t>
          </a:r>
        </a:p>
        <a:p>
          <a:r>
            <a:rPr lang="pl-PL" sz="1100" i="0">
              <a:solidFill>
                <a:sysClr val="windowText" lastClr="000000"/>
              </a:solidFill>
              <a:effectLst/>
              <a:latin typeface="+mn-lt"/>
              <a:ea typeface="+mn-ea"/>
              <a:cs typeface="+mn-cs"/>
            </a:rPr>
            <a:t>- Uwzględnienie wskaźników inflacji CPI oraz inflacji cen produkcji budowlano-montażowej </a:t>
          </a:r>
          <a:r>
            <a:rPr lang="pl-PL" sz="1100" i="0">
              <a:solidFill>
                <a:schemeClr val="dk1"/>
              </a:solidFill>
              <a:effectLst/>
              <a:latin typeface="+mn-lt"/>
              <a:ea typeface="+mn-ea"/>
              <a:cs typeface="+mn-cs"/>
            </a:rPr>
            <a:t>za rok 2023 wg GUS </a:t>
          </a:r>
        </a:p>
        <a:p>
          <a:r>
            <a:rPr lang="pl-PL" sz="1100" i="0">
              <a:solidFill>
                <a:sysClr val="windowText" lastClr="000000"/>
              </a:solidFill>
              <a:effectLst/>
              <a:latin typeface="+mn-lt"/>
              <a:ea typeface="+mn-ea"/>
              <a:cs typeface="+mn-cs"/>
            </a:rPr>
            <a:t>- Uwzględnienie zaktualizowanych projekcji makroekonomicznych MinFin, wersja 13.05.2024 </a:t>
          </a:r>
        </a:p>
        <a:p>
          <a:pPr marL="0" marR="0" lvl="0" indent="0" defTabSz="914400" eaLnBrk="1" fontAlgn="auto" latinLnBrk="0" hangingPunct="1">
            <a:lnSpc>
              <a:spcPct val="100000"/>
            </a:lnSpc>
            <a:spcBef>
              <a:spcPts val="0"/>
            </a:spcBef>
            <a:spcAft>
              <a:spcPts val="0"/>
            </a:spcAft>
            <a:buClrTx/>
            <a:buSzTx/>
            <a:buFontTx/>
            <a:buNone/>
            <a:tabLst/>
            <a:defRPr/>
          </a:pPr>
          <a:r>
            <a:rPr lang="pl-PL" sz="1100" i="0">
              <a:solidFill>
                <a:schemeClr val="dk1"/>
              </a:solidFill>
              <a:effectLst/>
              <a:latin typeface="+mn-lt"/>
              <a:ea typeface="+mn-ea"/>
              <a:cs typeface="+mn-cs"/>
            </a:rPr>
            <a:t>- Uwzględnienie Prognozy ludności na lata 2023-2060, opracowanej</a:t>
          </a:r>
          <a:r>
            <a:rPr lang="pl-PL" sz="1100" i="0" baseline="0">
              <a:solidFill>
                <a:schemeClr val="dk1"/>
              </a:solidFill>
              <a:effectLst/>
              <a:latin typeface="+mn-lt"/>
              <a:ea typeface="+mn-ea"/>
              <a:cs typeface="+mn-cs"/>
            </a:rPr>
            <a:t> przez GUS</a:t>
          </a:r>
          <a:r>
            <a:rPr lang="pl-PL" sz="1100" i="0">
              <a:solidFill>
                <a:schemeClr val="dk1"/>
              </a:solidFill>
              <a:effectLst/>
              <a:latin typeface="+mn-lt"/>
              <a:ea typeface="+mn-ea"/>
              <a:cs typeface="+mn-cs"/>
            </a:rPr>
            <a:t> w roku 2023</a:t>
          </a:r>
          <a:r>
            <a:rPr lang="pl-PL" sz="1100" i="0" baseline="0">
              <a:solidFill>
                <a:schemeClr val="dk1"/>
              </a:solidFill>
              <a:effectLst/>
              <a:latin typeface="+mn-lt"/>
              <a:ea typeface="+mn-ea"/>
              <a:cs typeface="+mn-cs"/>
            </a:rPr>
            <a:t> </a:t>
          </a:r>
          <a:endParaRPr lang="pl-PL">
            <a:effectLst/>
          </a:endParaRPr>
        </a:p>
        <a:p>
          <a:r>
            <a:rPr lang="pl-PL" sz="1100" i="0">
              <a:solidFill>
                <a:schemeClr val="dk1"/>
              </a:solidFill>
              <a:effectLst/>
              <a:latin typeface="+mn-lt"/>
              <a:ea typeface="+mn-ea"/>
              <a:cs typeface="+mn-cs"/>
            </a:rPr>
            <a:t>- </a:t>
          </a:r>
          <a:r>
            <a:rPr lang="pl-PL" sz="1100">
              <a:solidFill>
                <a:schemeClr val="dk1"/>
              </a:solidFill>
              <a:effectLst/>
              <a:latin typeface="+mn-lt"/>
              <a:ea typeface="+mn-ea"/>
              <a:cs typeface="+mn-cs"/>
            </a:rPr>
            <a:t>Dodatkowe przykłady kształtowania się kosztów jednostkowych eksploatacji samochodów elektrycznych LV </a:t>
          </a:r>
          <a:r>
            <a:rPr lang="pl-PL" sz="1100" i="0">
              <a:solidFill>
                <a:schemeClr val="dk1"/>
              </a:solidFill>
              <a:effectLst/>
              <a:latin typeface="+mn-lt"/>
              <a:ea typeface="+mn-ea"/>
              <a:cs typeface="+mn-cs"/>
            </a:rPr>
            <a:t>na z</a:t>
          </a:r>
          <a:r>
            <a:rPr lang="pl-PL" sz="1100">
              <a:solidFill>
                <a:schemeClr val="dk1"/>
              </a:solidFill>
              <a:effectLst/>
              <a:latin typeface="+mn-lt"/>
              <a:ea typeface="+mn-ea"/>
              <a:cs typeface="+mn-cs"/>
            </a:rPr>
            <a:t>akładkach „VOC eksploatacja samochody” i „Zmiany klimatu (GHG) samochody” </a:t>
          </a:r>
        </a:p>
        <a:p>
          <a:r>
            <a:rPr lang="pl-PL" sz="1100" i="0">
              <a:solidFill>
                <a:schemeClr val="dk1"/>
              </a:solidFill>
              <a:effectLst/>
              <a:latin typeface="+mn-lt"/>
              <a:ea typeface="+mn-ea"/>
              <a:cs typeface="+mn-cs"/>
            </a:rPr>
            <a:t>- </a:t>
          </a:r>
          <a:r>
            <a:rPr lang="pl-PL" sz="1100">
              <a:solidFill>
                <a:schemeClr val="dk1"/>
              </a:solidFill>
              <a:effectLst/>
              <a:latin typeface="+mn-lt"/>
              <a:ea typeface="+mn-ea"/>
              <a:cs typeface="+mn-cs"/>
            </a:rPr>
            <a:t>Doprecyzowanie granic przedziałów prędkości n</a:t>
          </a:r>
          <a:r>
            <a:rPr lang="pl-PL" sz="1100" i="0">
              <a:solidFill>
                <a:schemeClr val="dk1"/>
              </a:solidFill>
              <a:effectLst/>
              <a:latin typeface="+mn-lt"/>
              <a:ea typeface="+mn-ea"/>
              <a:cs typeface="+mn-cs"/>
            </a:rPr>
            <a:t>a z</a:t>
          </a:r>
          <a:r>
            <a:rPr lang="pl-PL" sz="1100">
              <a:solidFill>
                <a:schemeClr val="dk1"/>
              </a:solidFill>
              <a:effectLst/>
              <a:latin typeface="+mn-lt"/>
              <a:ea typeface="+mn-ea"/>
              <a:cs typeface="+mn-cs"/>
            </a:rPr>
            <a:t>akładkach „VOC eksploatacja samochody” (4 tabele) i „Zmiany klimatu (GHG) samochody” (2 tabele) </a:t>
          </a:r>
        </a:p>
        <a:p>
          <a:r>
            <a:rPr lang="pl-PL" sz="1100" i="0">
              <a:solidFill>
                <a:schemeClr val="dk1"/>
              </a:solidFill>
              <a:effectLst/>
              <a:latin typeface="+mn-lt"/>
              <a:ea typeface="+mn-ea"/>
              <a:cs typeface="+mn-cs"/>
            </a:rPr>
            <a:t>- </a:t>
          </a:r>
          <a:r>
            <a:rPr lang="pl-PL" sz="1100">
              <a:solidFill>
                <a:schemeClr val="dk1"/>
              </a:solidFill>
              <a:effectLst/>
              <a:latin typeface="+mn-lt"/>
              <a:ea typeface="+mn-ea"/>
              <a:cs typeface="+mn-cs"/>
            </a:rPr>
            <a:t>Określenie przeliczników uciążliwości hałasu dotyczących pociągów (obszar miejski/ zamiejski) na zakładce „Hałas-zagreg.śred.PL” </a:t>
          </a:r>
          <a:r>
            <a:rPr lang="pl-PL" sz="1100">
              <a:solidFill>
                <a:sysClr val="windowText" lastClr="000000"/>
              </a:solidFill>
              <a:effectLst/>
              <a:latin typeface="+mn-lt"/>
              <a:ea typeface="+mn-ea"/>
              <a:cs typeface="+mn-cs"/>
            </a:rPr>
            <a:t>oraz</a:t>
          </a:r>
          <a:r>
            <a:rPr lang="pl-PL" sz="1100" baseline="0">
              <a:solidFill>
                <a:sysClr val="windowText" lastClr="000000"/>
              </a:solidFill>
              <a:effectLst/>
              <a:latin typeface="+mn-lt"/>
              <a:ea typeface="+mn-ea"/>
              <a:cs typeface="+mn-cs"/>
            </a:rPr>
            <a:t> dodatkowe </a:t>
          </a:r>
          <a:r>
            <a:rPr lang="pl-PL" sz="1100">
              <a:solidFill>
                <a:schemeClr val="dk1"/>
              </a:solidFill>
              <a:effectLst/>
              <a:latin typeface="+mn-lt"/>
              <a:ea typeface="+mn-ea"/>
              <a:cs typeface="+mn-cs"/>
            </a:rPr>
            <a:t>przykłady kształtowania się kosztów jednostkowych hałasu pociągów </a:t>
          </a:r>
          <a:endParaRPr lang="pl-PL" sz="1100" i="0">
            <a:solidFill>
              <a:sysClr val="windowText" lastClr="000000"/>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19051</xdr:colOff>
      <xdr:row>92</xdr:row>
      <xdr:rowOff>142874</xdr:rowOff>
    </xdr:from>
    <xdr:to>
      <xdr:col>27</xdr:col>
      <xdr:colOff>295276</xdr:colOff>
      <xdr:row>96</xdr:row>
      <xdr:rowOff>180975</xdr:rowOff>
    </xdr:to>
    <xdr:sp macro="" textlink="">
      <xdr:nvSpPr>
        <xdr:cNvPr id="3" name="pole tekstowe 2"/>
        <xdr:cNvSpPr txBox="1"/>
      </xdr:nvSpPr>
      <xdr:spPr>
        <a:xfrm>
          <a:off x="2657476" y="3457574"/>
          <a:ext cx="9334500" cy="800101"/>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solidFill>
                <a:schemeClr val="dk1"/>
              </a:solidFill>
              <a:effectLst/>
              <a:latin typeface="+mn-lt"/>
              <a:ea typeface="+mn-ea"/>
              <a:cs typeface="+mn-cs"/>
            </a:rPr>
            <a:t>Koszty hałasu zróżnicowano w zależności od dwóch kategorii pojazdów drogowych: samochody lekkie LV i samochody ciężarowe HGV. W przypadku, jeżeli rezultaty prognozy ruchu zostały przedstawione w podziale na standardowe 5 kategorii pojazdów, to powinny one zostać potraktowane w sposób następujący: </a:t>
          </a:r>
        </a:p>
        <a:p>
          <a:r>
            <a:rPr lang="pl-PL" sz="1100">
              <a:solidFill>
                <a:schemeClr val="dk1"/>
              </a:solidFill>
              <a:effectLst/>
              <a:latin typeface="+mn-lt"/>
              <a:ea typeface="+mn-ea"/>
              <a:cs typeface="+mn-cs"/>
            </a:rPr>
            <a:t>- emisje hałasu dla LV należy przyjąć dla samochodów osobowych (SO) i samochodów dostawczych (SD); </a:t>
          </a:r>
        </a:p>
        <a:p>
          <a:r>
            <a:rPr lang="pl-PL" sz="1100">
              <a:solidFill>
                <a:schemeClr val="dk1"/>
              </a:solidFill>
              <a:effectLst/>
              <a:latin typeface="+mn-lt"/>
              <a:ea typeface="+mn-ea"/>
              <a:cs typeface="+mn-cs"/>
            </a:rPr>
            <a:t>- emisje hałasu dla HGV należy przyjąć dla samochodów ciężarowych bez przyczep (SC), samochodów ciężarowych z przyczepami (SCp) oraz autobusów (A). </a:t>
          </a:r>
        </a:p>
      </xdr:txBody>
    </xdr:sp>
    <xdr:clientData/>
  </xdr:twoCellAnchor>
  <xdr:twoCellAnchor>
    <xdr:from>
      <xdr:col>15</xdr:col>
      <xdr:colOff>19050</xdr:colOff>
      <xdr:row>83</xdr:row>
      <xdr:rowOff>19050</xdr:rowOff>
    </xdr:from>
    <xdr:to>
      <xdr:col>22</xdr:col>
      <xdr:colOff>104775</xdr:colOff>
      <xdr:row>92</xdr:row>
      <xdr:rowOff>123825</xdr:rowOff>
    </xdr:to>
    <xdr:sp macro="" textlink="">
      <xdr:nvSpPr>
        <xdr:cNvPr id="4" name="pole tekstowe 3"/>
        <xdr:cNvSpPr txBox="1"/>
      </xdr:nvSpPr>
      <xdr:spPr>
        <a:xfrm>
          <a:off x="2657475" y="1619250"/>
          <a:ext cx="5810250" cy="181927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solidFill>
                <a:schemeClr val="dk1"/>
              </a:solidFill>
              <a:effectLst/>
              <a:latin typeface="+mn-lt"/>
              <a:ea typeface="+mn-ea"/>
              <a:cs typeface="+mn-cs"/>
            </a:rPr>
            <a:t>W alternatywnym </a:t>
          </a:r>
          <a:r>
            <a:rPr lang="pl-PL" sz="1100" baseline="0">
              <a:solidFill>
                <a:schemeClr val="dk1"/>
              </a:solidFill>
              <a:effectLst/>
              <a:latin typeface="+mn-lt"/>
              <a:ea typeface="+mn-ea"/>
              <a:cs typeface="+mn-cs"/>
            </a:rPr>
            <a:t>podejściu przedstawionym na tej zakładce u</a:t>
          </a:r>
          <a:r>
            <a:rPr lang="pl-PL" sz="1100">
              <a:solidFill>
                <a:schemeClr val="dk1"/>
              </a:solidFill>
              <a:effectLst/>
              <a:latin typeface="+mn-lt"/>
              <a:ea typeface="+mn-ea"/>
              <a:cs typeface="+mn-cs"/>
            </a:rPr>
            <a:t>względniono </a:t>
          </a:r>
          <a:r>
            <a:rPr lang="pl-PL" sz="1100" u="sng">
              <a:solidFill>
                <a:schemeClr val="dk1"/>
              </a:solidFill>
              <a:effectLst/>
              <a:latin typeface="+mn-lt"/>
              <a:ea typeface="+mn-ea"/>
              <a:cs typeface="+mn-cs"/>
            </a:rPr>
            <a:t>koszty jednostkowe średnie</a:t>
          </a:r>
          <a:r>
            <a:rPr lang="pl-PL" sz="1100">
              <a:solidFill>
                <a:schemeClr val="dk1"/>
              </a:solidFill>
              <a:effectLst/>
              <a:latin typeface="+mn-lt"/>
              <a:ea typeface="+mn-ea"/>
              <a:cs typeface="+mn-cs"/>
            </a:rPr>
            <a:t> (nie krańcowe). </a:t>
          </a:r>
        </a:p>
        <a:p>
          <a:r>
            <a:rPr lang="pl-PL" sz="1100">
              <a:solidFill>
                <a:schemeClr val="dk1"/>
              </a:solidFill>
              <a:effectLst/>
              <a:latin typeface="+mn-lt"/>
              <a:ea typeface="+mn-ea"/>
              <a:cs typeface="+mn-cs"/>
            </a:rPr>
            <a:t>Koszty krańcowe są dostępne w opracowaniu źródłowym tylko w ujęciu bardziej zdezagregowanym i tylko dla UE-28 a nie dla poszczególnych krajów (pkt 6.4 Marginal noise costs). </a:t>
          </a:r>
        </a:p>
        <a:p>
          <a:r>
            <a:rPr lang="en-GB" sz="1100">
              <a:solidFill>
                <a:schemeClr val="dk1"/>
              </a:solidFill>
              <a:effectLst/>
              <a:latin typeface="+mn-lt"/>
              <a:ea typeface="+mn-ea"/>
              <a:cs typeface="+mn-cs"/>
            </a:rPr>
            <a:t>Różnice między stawkami krańcowymi i średnimi oraz uzasadnienie dla stosowania krańcowych przedstawia </a:t>
          </a:r>
          <a:r>
            <a:rPr lang="pl-PL" sz="1100">
              <a:solidFill>
                <a:schemeClr val="dk1"/>
              </a:solidFill>
              <a:effectLst/>
              <a:latin typeface="+mn-lt"/>
              <a:ea typeface="+mn-ea"/>
              <a:cs typeface="+mn-cs"/>
            </a:rPr>
            <a:t>Handbook on the External Costs of Transport, EC (January 2019), str. 82: </a:t>
          </a:r>
        </a:p>
        <a:p>
          <a:r>
            <a:rPr lang="pl-PL" sz="1100">
              <a:solidFill>
                <a:schemeClr val="dk1"/>
              </a:solidFill>
              <a:effectLst/>
              <a:latin typeface="+mn-lt"/>
              <a:ea typeface="+mn-ea"/>
              <a:cs typeface="+mn-cs"/>
            </a:rPr>
            <a:t>"</a:t>
          </a:r>
          <a:r>
            <a:rPr lang="pl-PL" sz="1100" i="1">
              <a:solidFill>
                <a:schemeClr val="dk1"/>
              </a:solidFill>
              <a:effectLst/>
              <a:latin typeface="+mn-lt"/>
              <a:ea typeface="+mn-ea"/>
              <a:cs typeface="+mn-cs"/>
            </a:rPr>
            <a:t>Marginal noise costs differ from average noise costs for several reasons, but mainly because local factors influence the noise level and the damage and annoyance level. There are three main cost drivers for marginal noise costs: Population density (...), Existing noise levels (depending on traffic volume, traffic mix and speed) (...), Time of the day (...)</a:t>
          </a:r>
          <a:r>
            <a:rPr lang="pl-PL" sz="1100">
              <a:solidFill>
                <a:schemeClr val="dk1"/>
              </a:solidFill>
              <a:effectLst/>
              <a:latin typeface="+mn-lt"/>
              <a:ea typeface="+mn-ea"/>
              <a:cs typeface="+mn-cs"/>
            </a:rPr>
            <a: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23</xdr:col>
      <xdr:colOff>66675</xdr:colOff>
      <xdr:row>2</xdr:row>
      <xdr:rowOff>76200</xdr:rowOff>
    </xdr:from>
    <xdr:to>
      <xdr:col>28</xdr:col>
      <xdr:colOff>361950</xdr:colOff>
      <xdr:row>15</xdr:row>
      <xdr:rowOff>95250</xdr:rowOff>
    </xdr:to>
    <xdr:sp macro="" textlink="">
      <xdr:nvSpPr>
        <xdr:cNvPr id="2" name="pole tekstowe 1"/>
        <xdr:cNvSpPr txBox="1"/>
      </xdr:nvSpPr>
      <xdr:spPr>
        <a:xfrm>
          <a:off x="9925050" y="533400"/>
          <a:ext cx="4819650" cy="24955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solidFill>
                <a:schemeClr val="dk1"/>
              </a:solidFill>
              <a:effectLst/>
              <a:latin typeface="+mn-lt"/>
              <a:ea typeface="+mn-ea"/>
              <a:cs typeface="+mn-cs"/>
            </a:rPr>
            <a:t>Uwzględniono </a:t>
          </a:r>
          <a:r>
            <a:rPr lang="pl-PL" sz="1100" u="sng">
              <a:solidFill>
                <a:schemeClr val="dk1"/>
              </a:solidFill>
              <a:effectLst/>
              <a:latin typeface="+mn-lt"/>
              <a:ea typeface="+mn-ea"/>
              <a:cs typeface="+mn-cs"/>
            </a:rPr>
            <a:t>koszty jednostkowe średnie</a:t>
          </a:r>
          <a:r>
            <a:rPr lang="pl-PL" sz="1100">
              <a:solidFill>
                <a:schemeClr val="dk1"/>
              </a:solidFill>
              <a:effectLst/>
              <a:latin typeface="+mn-lt"/>
              <a:ea typeface="+mn-ea"/>
              <a:cs typeface="+mn-cs"/>
            </a:rPr>
            <a:t> (nie krańcowe). Jest to zgodne z dotychczasowym podejściem w NK 2015. </a:t>
          </a:r>
        </a:p>
        <a:p>
          <a:r>
            <a:rPr lang="pl-PL" sz="1100">
              <a:solidFill>
                <a:schemeClr val="dk1"/>
              </a:solidFill>
              <a:effectLst/>
              <a:latin typeface="+mn-lt"/>
              <a:ea typeface="+mn-ea"/>
              <a:cs typeface="+mn-cs"/>
            </a:rPr>
            <a:t>R</a:t>
          </a:r>
          <a:r>
            <a:rPr lang="en-GB" sz="1100">
              <a:solidFill>
                <a:schemeClr val="dk1"/>
              </a:solidFill>
              <a:effectLst/>
              <a:latin typeface="+mn-lt"/>
              <a:ea typeface="+mn-ea"/>
              <a:cs typeface="+mn-cs"/>
            </a:rPr>
            <a:t>óżnice między stawkami krańcowymi i</a:t>
          </a:r>
          <a:r>
            <a:rPr lang="pl-PL" sz="1100">
              <a:solidFill>
                <a:schemeClr val="dk1"/>
              </a:solidFill>
              <a:effectLst/>
              <a:latin typeface="+mn-lt"/>
              <a:ea typeface="+mn-ea"/>
              <a:cs typeface="+mn-cs"/>
            </a:rPr>
            <a:t> </a:t>
          </a:r>
          <a:r>
            <a:rPr lang="en-GB" sz="1100">
              <a:solidFill>
                <a:schemeClr val="dk1"/>
              </a:solidFill>
              <a:effectLst/>
              <a:latin typeface="+mn-lt"/>
              <a:ea typeface="+mn-ea"/>
              <a:cs typeface="+mn-cs"/>
            </a:rPr>
            <a:t>średnimi oraz uzasadnienie dla stosowania krańcowych przedstawia </a:t>
          </a:r>
          <a:r>
            <a:rPr lang="pl-PL" sz="1100">
              <a:solidFill>
                <a:schemeClr val="dk1"/>
              </a:solidFill>
              <a:effectLst/>
              <a:latin typeface="+mn-lt"/>
              <a:ea typeface="+mn-ea"/>
              <a:cs typeface="+mn-cs"/>
            </a:rPr>
            <a:t>Handbook on the External Costs of Transport, EC (January 2019), pkt 3.4 Marginal accident costs, str. 39: </a:t>
          </a:r>
          <a:endParaRPr lang="pl-PL">
            <a:effectLst/>
          </a:endParaRPr>
        </a:p>
        <a:p>
          <a:r>
            <a:rPr lang="pl-PL" sz="1100">
              <a:solidFill>
                <a:schemeClr val="dk1"/>
              </a:solidFill>
              <a:effectLst/>
              <a:latin typeface="+mn-lt"/>
              <a:ea typeface="+mn-ea"/>
              <a:cs typeface="+mn-cs"/>
            </a:rPr>
            <a:t>"</a:t>
          </a:r>
          <a:r>
            <a:rPr lang="pl-PL" sz="1100" i="1">
              <a:solidFill>
                <a:schemeClr val="dk1"/>
              </a:solidFill>
              <a:effectLst/>
              <a:latin typeface="+mn-lt"/>
              <a:ea typeface="+mn-ea"/>
              <a:cs typeface="+mn-cs"/>
            </a:rPr>
            <a:t>Marginal accident costs are only calculated for road transport. For all other modes of transport the marginal accident costs are considered to be equal to the average costs. This is because the other modes are scheduled services, this implies that the accident risk is less dependent on the amount of traffic for these modes.</a:t>
          </a:r>
          <a:r>
            <a:rPr lang="pl-PL" sz="1100">
              <a:solidFill>
                <a:schemeClr val="dk1"/>
              </a:solidFill>
              <a:effectLst/>
              <a:latin typeface="+mn-lt"/>
              <a:ea typeface="+mn-ea"/>
              <a:cs typeface="+mn-cs"/>
            </a:rPr>
            <a:t>" </a:t>
          </a:r>
          <a:endParaRPr lang="pl-PL">
            <a:effectLst/>
          </a:endParaRPr>
        </a:p>
        <a:p>
          <a:r>
            <a:rPr lang="pl-PL" sz="1100">
              <a:solidFill>
                <a:schemeClr val="dk1"/>
              </a:solidFill>
              <a:effectLst/>
              <a:latin typeface="+mn-lt"/>
              <a:ea typeface="+mn-ea"/>
              <a:cs typeface="+mn-cs"/>
            </a:rPr>
            <a:t>"</a:t>
          </a:r>
          <a:r>
            <a:rPr lang="pl-PL" sz="1100" i="1">
              <a:solidFill>
                <a:schemeClr val="dk1"/>
              </a:solidFill>
              <a:effectLst/>
              <a:latin typeface="+mn-lt"/>
              <a:ea typeface="+mn-ea"/>
              <a:cs typeface="+mn-cs"/>
            </a:rPr>
            <a:t>The marginal accident costs represent the extra costs that adding an extra vehicle to the traffic flow brings. The main input values for marginal accident costs are the accident risk per vehicle type and road type, the costs per casualty and the risk elasticity. The costs per casualty are the same as those used for the calculation of total and average costs.</a:t>
          </a:r>
          <a:r>
            <a:rPr lang="pl-PL" sz="1100">
              <a:solidFill>
                <a:schemeClr val="dk1"/>
              </a:solidFill>
              <a:effectLst/>
              <a:latin typeface="+mn-lt"/>
              <a:ea typeface="+mn-ea"/>
              <a:cs typeface="+mn-cs"/>
            </a:rPr>
            <a: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19050</xdr:colOff>
      <xdr:row>21</xdr:row>
      <xdr:rowOff>9524</xdr:rowOff>
    </xdr:from>
    <xdr:to>
      <xdr:col>19</xdr:col>
      <xdr:colOff>581025</xdr:colOff>
      <xdr:row>26</xdr:row>
      <xdr:rowOff>180975</xdr:rowOff>
    </xdr:to>
    <xdr:sp macro="" textlink="">
      <xdr:nvSpPr>
        <xdr:cNvPr id="2" name="pole tekstowe 1"/>
        <xdr:cNvSpPr txBox="1"/>
      </xdr:nvSpPr>
      <xdr:spPr>
        <a:xfrm>
          <a:off x="2676525" y="4086224"/>
          <a:ext cx="5857875" cy="1123951"/>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b="0" i="0" u="none" strike="noStrike" baseline="0" smtClean="0">
              <a:solidFill>
                <a:schemeClr val="dk1"/>
              </a:solidFill>
              <a:latin typeface="+mn-lt"/>
              <a:ea typeface="+mn-ea"/>
              <a:cs typeface="+mn-cs"/>
            </a:rPr>
            <a:t>[1] Powyższe koszty jednostkowe obejmują wszystkie działania związane z bieżącym i prewencyjnym utrzymaniem wszystkich elementów infrastruktury drogowej (m.in. nawierzchni, węzłów i innych obiektów, dróg serwisowych, odwodnienia, wyposażenia BRD, ekranów akustycznych itd.). </a:t>
          </a:r>
        </a:p>
        <a:p>
          <a:pPr marL="0" marR="0" lvl="0" indent="0" defTabSz="914400" eaLnBrk="1" fontAlgn="auto" latinLnBrk="0" hangingPunct="1">
            <a:lnSpc>
              <a:spcPct val="100000"/>
            </a:lnSpc>
            <a:spcBef>
              <a:spcPts val="0"/>
            </a:spcBef>
            <a:spcAft>
              <a:spcPts val="0"/>
            </a:spcAft>
            <a:buClrTx/>
            <a:buSzTx/>
            <a:buFontTx/>
            <a:buNone/>
            <a:tabLst/>
            <a:defRPr/>
          </a:pPr>
          <a:r>
            <a:rPr lang="pl-PL" sz="1100">
              <a:solidFill>
                <a:schemeClr val="dk1"/>
              </a:solidFill>
              <a:effectLst/>
              <a:latin typeface="+mn-lt"/>
              <a:ea typeface="+mn-ea"/>
              <a:cs typeface="+mn-cs"/>
            </a:rPr>
            <a:t>[2] </a:t>
          </a:r>
          <a:r>
            <a:rPr lang="pl-PL" sz="1100" b="0" i="0" u="none" strike="noStrike" baseline="0" smtClean="0">
              <a:solidFill>
                <a:schemeClr val="dk1"/>
              </a:solidFill>
              <a:effectLst/>
              <a:latin typeface="+mn-lt"/>
              <a:ea typeface="+mn-ea"/>
              <a:cs typeface="+mn-cs"/>
            </a:rPr>
            <a:t>W </a:t>
          </a:r>
          <a:r>
            <a:rPr lang="pl-PL" sz="1100" b="0" i="0" u="none" strike="noStrike" baseline="0" smtClean="0">
              <a:solidFill>
                <a:schemeClr val="dk1"/>
              </a:solidFill>
              <a:latin typeface="+mn-lt"/>
              <a:ea typeface="+mn-ea"/>
              <a:cs typeface="+mn-cs"/>
            </a:rPr>
            <a:t>przypadku innych niż wymienione przekroje poprzeczne (także dla dróg niższych klas) można zastosować korektę pro-rata odzwierciedlającą różnicę w liczbie pasów ruchu (lub szerokości). </a:t>
          </a:r>
        </a:p>
      </xdr:txBody>
    </xdr:sp>
    <xdr:clientData/>
  </xdr:twoCellAnchor>
  <xdr:twoCellAnchor>
    <xdr:from>
      <xdr:col>12</xdr:col>
      <xdr:colOff>19050</xdr:colOff>
      <xdr:row>45</xdr:row>
      <xdr:rowOff>19051</xdr:rowOff>
    </xdr:from>
    <xdr:to>
      <xdr:col>19</xdr:col>
      <xdr:colOff>581025</xdr:colOff>
      <xdr:row>50</xdr:row>
      <xdr:rowOff>19051</xdr:rowOff>
    </xdr:to>
    <xdr:sp macro="" textlink="">
      <xdr:nvSpPr>
        <xdr:cNvPr id="3" name="pole tekstowe 2"/>
        <xdr:cNvSpPr txBox="1"/>
      </xdr:nvSpPr>
      <xdr:spPr>
        <a:xfrm>
          <a:off x="2676525" y="8667751"/>
          <a:ext cx="5857875" cy="9525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pl-PL" sz="1100" b="0" i="0" u="none" strike="noStrike" baseline="0" smtClean="0">
              <a:solidFill>
                <a:schemeClr val="dk1"/>
              </a:solidFill>
              <a:latin typeface="+mn-lt"/>
              <a:ea typeface="+mn-ea"/>
              <a:cs typeface="+mn-cs"/>
            </a:rPr>
            <a:t>[1]</a:t>
          </a:r>
          <a:r>
            <a:rPr lang="pl-PL" sz="1100" b="0" i="0" baseline="0">
              <a:solidFill>
                <a:schemeClr val="dk1"/>
              </a:solidFill>
              <a:effectLst/>
              <a:latin typeface="+mn-lt"/>
              <a:ea typeface="+mn-ea"/>
              <a:cs typeface="+mn-cs"/>
            </a:rPr>
            <a:t> </a:t>
          </a:r>
          <a:r>
            <a:rPr lang="pl-PL" sz="1100" b="0" i="0" u="none" strike="noStrike" baseline="0" smtClean="0">
              <a:solidFill>
                <a:schemeClr val="dk1"/>
              </a:solidFill>
              <a:latin typeface="+mn-lt"/>
              <a:ea typeface="+mn-ea"/>
              <a:cs typeface="+mn-cs"/>
            </a:rPr>
            <a:t>Powyższe koszty jednostkowe obejmują wszystkie działania związane z</a:t>
          </a:r>
          <a:r>
            <a:rPr lang="pl-PL" sz="1100" b="0" i="0" baseline="0">
              <a:solidFill>
                <a:schemeClr val="dk1"/>
              </a:solidFill>
              <a:effectLst/>
              <a:latin typeface="+mn-lt"/>
              <a:ea typeface="+mn-ea"/>
              <a:cs typeface="+mn-cs"/>
            </a:rPr>
            <a:t> </a:t>
          </a:r>
          <a:r>
            <a:rPr lang="pl-PL" sz="1100" b="0" i="0" u="none" strike="noStrike" baseline="0" smtClean="0">
              <a:solidFill>
                <a:schemeClr val="dk1"/>
              </a:solidFill>
              <a:latin typeface="+mn-lt"/>
              <a:ea typeface="+mn-ea"/>
              <a:cs typeface="+mn-cs"/>
            </a:rPr>
            <a:t>okresowym utrzymaniem wszystkich elementów infrastruktury drogowej (m.in. nawierzchni, węzłów i</a:t>
          </a:r>
          <a:r>
            <a:rPr lang="pl-PL" sz="1100" b="0" i="0" baseline="0">
              <a:solidFill>
                <a:schemeClr val="dk1"/>
              </a:solidFill>
              <a:effectLst/>
              <a:latin typeface="+mn-lt"/>
              <a:ea typeface="+mn-ea"/>
              <a:cs typeface="+mn-cs"/>
            </a:rPr>
            <a:t> </a:t>
          </a:r>
          <a:r>
            <a:rPr lang="pl-PL" sz="1100" b="0" i="0" u="none" strike="noStrike" baseline="0" smtClean="0">
              <a:solidFill>
                <a:schemeClr val="dk1"/>
              </a:solidFill>
              <a:latin typeface="+mn-lt"/>
              <a:ea typeface="+mn-ea"/>
              <a:cs typeface="+mn-cs"/>
            </a:rPr>
            <a:t>innych obiektów, dróg serwisowych, odwodnienia, wyposażenia BRD, ekranów akustycznych itd.). </a:t>
          </a:r>
        </a:p>
        <a:p>
          <a:pPr marL="0" marR="0" lvl="0" indent="0" defTabSz="914400" eaLnBrk="1" fontAlgn="auto" latinLnBrk="0" hangingPunct="1">
            <a:lnSpc>
              <a:spcPct val="100000"/>
            </a:lnSpc>
            <a:spcBef>
              <a:spcPts val="0"/>
            </a:spcBef>
            <a:spcAft>
              <a:spcPts val="0"/>
            </a:spcAft>
            <a:buClrTx/>
            <a:buSzTx/>
            <a:buFontTx/>
            <a:buNone/>
            <a:tabLst/>
            <a:defRPr/>
          </a:pPr>
          <a:r>
            <a:rPr lang="pl-PL" sz="1100">
              <a:solidFill>
                <a:schemeClr val="dk1"/>
              </a:solidFill>
              <a:effectLst/>
              <a:latin typeface="+mn-lt"/>
              <a:ea typeface="+mn-ea"/>
              <a:cs typeface="+mn-cs"/>
            </a:rPr>
            <a:t>[2]</a:t>
          </a:r>
          <a:r>
            <a:rPr lang="pl-PL" sz="1100" b="0" i="0" baseline="0">
              <a:solidFill>
                <a:schemeClr val="dk1"/>
              </a:solidFill>
              <a:effectLst/>
              <a:latin typeface="+mn-lt"/>
              <a:ea typeface="+mn-ea"/>
              <a:cs typeface="+mn-cs"/>
            </a:rPr>
            <a:t> </a:t>
          </a:r>
          <a:r>
            <a:rPr lang="pl-PL" sz="1100" b="0" i="0" u="none" strike="noStrike" baseline="0" smtClean="0">
              <a:solidFill>
                <a:schemeClr val="dk1"/>
              </a:solidFill>
              <a:effectLst/>
              <a:latin typeface="+mn-lt"/>
              <a:ea typeface="+mn-ea"/>
              <a:cs typeface="+mn-cs"/>
            </a:rPr>
            <a:t>W</a:t>
          </a:r>
          <a:r>
            <a:rPr lang="pl-PL" sz="1100" b="0" i="0" baseline="0">
              <a:solidFill>
                <a:schemeClr val="dk1"/>
              </a:solidFill>
              <a:effectLst/>
              <a:latin typeface="+mn-lt"/>
              <a:ea typeface="+mn-ea"/>
              <a:cs typeface="+mn-cs"/>
            </a:rPr>
            <a:t> </a:t>
          </a:r>
          <a:r>
            <a:rPr lang="pl-PL" sz="1100" b="0" i="0" u="none" strike="noStrike" baseline="0" smtClean="0">
              <a:solidFill>
                <a:schemeClr val="dk1"/>
              </a:solidFill>
              <a:latin typeface="+mn-lt"/>
              <a:ea typeface="+mn-ea"/>
              <a:cs typeface="+mn-cs"/>
            </a:rPr>
            <a:t>przypadku innych niż wymienione przekroje poprzeczne (także dla dróg niższych klas) można zastosować korektę pro-rata odzwierciedlającą różnicę w</a:t>
          </a:r>
          <a:r>
            <a:rPr lang="pl-PL" sz="1100" b="0" i="0" baseline="0">
              <a:solidFill>
                <a:schemeClr val="dk1"/>
              </a:solidFill>
              <a:effectLst/>
              <a:latin typeface="+mn-lt"/>
              <a:ea typeface="+mn-ea"/>
              <a:cs typeface="+mn-cs"/>
            </a:rPr>
            <a:t> </a:t>
          </a:r>
          <a:r>
            <a:rPr lang="pl-PL" sz="1100" b="0" i="0" u="none" strike="noStrike" baseline="0" smtClean="0">
              <a:solidFill>
                <a:schemeClr val="dk1"/>
              </a:solidFill>
              <a:latin typeface="+mn-lt"/>
              <a:ea typeface="+mn-ea"/>
              <a:cs typeface="+mn-cs"/>
            </a:rPr>
            <a:t>liczbie pasów ruchu (lub szerokości). </a:t>
          </a:r>
        </a:p>
      </xdr:txBody>
    </xdr:sp>
    <xdr:clientData/>
  </xdr:twoCellAnchor>
  <xdr:twoCellAnchor>
    <xdr:from>
      <xdr:col>12</xdr:col>
      <xdr:colOff>19050</xdr:colOff>
      <xdr:row>27</xdr:row>
      <xdr:rowOff>19050</xdr:rowOff>
    </xdr:from>
    <xdr:to>
      <xdr:col>19</xdr:col>
      <xdr:colOff>581025</xdr:colOff>
      <xdr:row>33</xdr:row>
      <xdr:rowOff>171450</xdr:rowOff>
    </xdr:to>
    <xdr:sp macro="" textlink="">
      <xdr:nvSpPr>
        <xdr:cNvPr id="4" name="pole tekstowe 3"/>
        <xdr:cNvSpPr txBox="1"/>
      </xdr:nvSpPr>
      <xdr:spPr>
        <a:xfrm>
          <a:off x="2676525" y="5238750"/>
          <a:ext cx="5857875" cy="12954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solidFill>
                <a:schemeClr val="dk1"/>
              </a:solidFill>
              <a:effectLst/>
              <a:latin typeface="+mn-lt"/>
              <a:ea typeface="+mn-ea"/>
              <a:cs typeface="+mn-cs"/>
            </a:rPr>
            <a:t>Zakłada się, że przedstawione na niniejszej zakładce koszty jednostkowe eksploatacji i utrzymania bieżącego jak również okresowego infrastruktury drogowej oraz elektronicznego systemu poboru opłat drogowych będą stałe w czasie w ujęciu realnym (brak realnego wzrostu). Ewentualny wzrost nominalny z tytułu np. wzrostu kosztów pracy oraz kosztów energii będzie rekompensowany wzrostem wydajności (np. z tytułu stosowania nowych technologii). Należy jedynie uwzględnić indeksację nominalną wskaźnikiem polskiej inflacji cen produkcji budowlano-montażowej do poziomu cenowego właściwego dla roku bazowego. </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1</xdr:row>
      <xdr:rowOff>47626</xdr:rowOff>
    </xdr:from>
    <xdr:to>
      <xdr:col>8</xdr:col>
      <xdr:colOff>2362200</xdr:colOff>
      <xdr:row>8</xdr:row>
      <xdr:rowOff>9526</xdr:rowOff>
    </xdr:to>
    <xdr:sp macro="" textlink="">
      <xdr:nvSpPr>
        <xdr:cNvPr id="2" name="pole tekstowe 1"/>
        <xdr:cNvSpPr txBox="1"/>
      </xdr:nvSpPr>
      <xdr:spPr>
        <a:xfrm>
          <a:off x="38100" y="352426"/>
          <a:ext cx="11515725" cy="12954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a:t>Niniejsza zakładka prezentuje sposób kalkulacji wolumenu emisji gazów</a:t>
          </a:r>
          <a:r>
            <a:rPr lang="pl-PL" baseline="0"/>
            <a:t> cieplarnianych (CO</a:t>
          </a:r>
          <a:r>
            <a:rPr lang="pl-PL" baseline="-25000"/>
            <a:t>2</a:t>
          </a:r>
          <a:r>
            <a:rPr lang="pl-PL" baseline="0"/>
            <a:t>) i </a:t>
          </a:r>
          <a:r>
            <a:rPr lang="pl-PL" sz="1100">
              <a:solidFill>
                <a:schemeClr val="dk1"/>
              </a:solidFill>
              <a:effectLst/>
              <a:latin typeface="+mn-lt"/>
              <a:ea typeface="+mn-ea"/>
              <a:cs typeface="+mn-cs"/>
            </a:rPr>
            <a:t>zanieczyszczeń powietrza </a:t>
          </a:r>
          <a:r>
            <a:rPr lang="pl-PL"/>
            <a:t>dla autobusów i innych środków transportu publicznego na podstawie zużycia paliwa lub energii elektrycznej. Kalkulacja taka powinna być stosowana, gdy środki transportu o różnym napędzie są porównywane między sobą (np. autobusy z silnikiem Diesla tzn. na olej napędowy ON, CNG, LPG i elektryczne). Dane dotyczące wskaźników emisyjności dla poszczególnych norm EURO stanowią maksymalne emisje dla danej normy zgodnie ze wskazanymi aktami prawnymi. </a:t>
          </a:r>
        </a:p>
        <a:p>
          <a:r>
            <a:rPr lang="pl-PL"/>
            <a:t>Na zakładce należy w pola żółte wpisać dane specyficzne dla analizowanego taboru, natomiast w polach szarych pojawiają się ostateczne wyniki (emisja w gramach na km). Prosimy o niezmienianie pozostałych pól, ponieważ może to spowodować błędne działanie obliczeń. </a:t>
          </a:r>
        </a:p>
        <a:p>
          <a:r>
            <a:rPr lang="pl-PL"/>
            <a:t>Do obliczonych na niniejszej zakładce wolumenów emisji należy stosować koszty jednostkowe CO</a:t>
          </a:r>
          <a:r>
            <a:rPr lang="pl-PL" baseline="-25000"/>
            <a:t>2</a:t>
          </a:r>
          <a:r>
            <a:rPr lang="pl-PL"/>
            <a:t> według</a:t>
          </a:r>
          <a:r>
            <a:rPr lang="pl-PL" baseline="0"/>
            <a:t> projekcji na zakładce "</a:t>
          </a:r>
          <a:r>
            <a:rPr lang="en-GB" sz="1100">
              <a:solidFill>
                <a:schemeClr val="dk1"/>
              </a:solidFill>
              <a:effectLst/>
              <a:latin typeface="+mn-lt"/>
              <a:ea typeface="+mn-ea"/>
              <a:cs typeface="+mn-cs"/>
            </a:rPr>
            <a:t>Zmiany klimatu (GHG) samochody</a:t>
          </a:r>
          <a:r>
            <a:rPr lang="pl-PL" baseline="0"/>
            <a:t>" oraz koszty jednostkowe wyszczególnionych tu zanieczyszczeń powietrza według projekcji na zakładce "</a:t>
          </a:r>
          <a:r>
            <a:rPr lang="en-GB" sz="1100">
              <a:solidFill>
                <a:schemeClr val="dk1"/>
              </a:solidFill>
              <a:effectLst/>
              <a:latin typeface="+mn-lt"/>
              <a:ea typeface="+mn-ea"/>
              <a:cs typeface="+mn-cs"/>
            </a:rPr>
            <a:t>Zanieczyszczenia transp.ląd</a:t>
          </a:r>
          <a:r>
            <a:rPr lang="pl-PL" baseline="0"/>
            <a:t>". </a:t>
          </a:r>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609599</xdr:colOff>
      <xdr:row>2</xdr:row>
      <xdr:rowOff>28575</xdr:rowOff>
    </xdr:from>
    <xdr:to>
      <xdr:col>38</xdr:col>
      <xdr:colOff>685800</xdr:colOff>
      <xdr:row>6</xdr:row>
      <xdr:rowOff>57150</xdr:rowOff>
    </xdr:to>
    <xdr:sp macro="" textlink="">
      <xdr:nvSpPr>
        <xdr:cNvPr id="2" name="pole tekstowe 1"/>
        <xdr:cNvSpPr txBox="1"/>
      </xdr:nvSpPr>
      <xdr:spPr>
        <a:xfrm>
          <a:off x="10582274" y="485775"/>
          <a:ext cx="6781801" cy="79057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solidFill>
                <a:schemeClr val="dk1"/>
              </a:solidFill>
              <a:effectLst/>
              <a:latin typeface="+mn-lt"/>
              <a:ea typeface="+mn-ea"/>
              <a:cs typeface="+mn-cs"/>
            </a:rPr>
            <a:t>Oszczędności czasu w przewozach ładunków należy rozpatrywać</a:t>
          </a:r>
          <a:r>
            <a:rPr lang="pl-PL" sz="1100" baseline="0">
              <a:solidFill>
                <a:schemeClr val="dk1"/>
              </a:solidFill>
              <a:effectLst/>
              <a:latin typeface="+mn-lt"/>
              <a:ea typeface="+mn-ea"/>
              <a:cs typeface="+mn-cs"/>
            </a:rPr>
            <a:t> w dwóch aspektach</a:t>
          </a:r>
          <a:r>
            <a:rPr lang="pl-PL" sz="1100">
              <a:solidFill>
                <a:schemeClr val="dk1"/>
              </a:solidFill>
              <a:effectLst/>
              <a:latin typeface="+mn-lt"/>
              <a:ea typeface="+mn-ea"/>
              <a:cs typeface="+mn-cs"/>
            </a:rPr>
            <a:t>: </a:t>
          </a:r>
        </a:p>
        <a:p>
          <a:r>
            <a:rPr lang="pl-PL" sz="1100">
              <a:solidFill>
                <a:schemeClr val="dk1"/>
              </a:solidFill>
              <a:effectLst/>
              <a:latin typeface="+mn-lt"/>
              <a:ea typeface="+mn-ea"/>
              <a:cs typeface="+mn-cs"/>
            </a:rPr>
            <a:t>- Składnik kosztu transportu w koszcie czasu, dotyczący oszczędności czasu personelu, szybszego obrotu aktywów</a:t>
          </a:r>
          <a:r>
            <a:rPr lang="pl-PL" sz="1100" baseline="0">
              <a:solidFill>
                <a:schemeClr val="dk1"/>
              </a:solidFill>
              <a:effectLst/>
              <a:latin typeface="+mn-lt"/>
              <a:ea typeface="+mn-ea"/>
              <a:cs typeface="+mn-cs"/>
            </a:rPr>
            <a:t> (wykorzystywanych do transportu ładunków) oraz związane z tym koszty ogólne</a:t>
          </a:r>
          <a:r>
            <a:rPr lang="pl-PL" sz="1100">
              <a:solidFill>
                <a:schemeClr val="dk1"/>
              </a:solidFill>
              <a:effectLst/>
              <a:latin typeface="+mn-lt"/>
              <a:ea typeface="+mn-ea"/>
              <a:cs typeface="+mn-cs"/>
            </a:rPr>
            <a:t> </a:t>
          </a:r>
        </a:p>
        <a:p>
          <a:r>
            <a:rPr lang="pl-PL" sz="1100">
              <a:solidFill>
                <a:schemeClr val="dk1"/>
              </a:solidFill>
              <a:effectLst/>
              <a:latin typeface="+mn-lt"/>
              <a:ea typeface="+mn-ea"/>
              <a:cs typeface="+mn-cs"/>
            </a:rPr>
            <a:t>- Składnik kosztu ładunku w koszcie czasu, dotyczący kosztu czasu samych ładunków.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19050</xdr:colOff>
      <xdr:row>192</xdr:row>
      <xdr:rowOff>1</xdr:rowOff>
    </xdr:from>
    <xdr:to>
      <xdr:col>26</xdr:col>
      <xdr:colOff>581025</xdr:colOff>
      <xdr:row>196</xdr:row>
      <xdr:rowOff>28575</xdr:rowOff>
    </xdr:to>
    <xdr:sp macro="" textlink="">
      <xdr:nvSpPr>
        <xdr:cNvPr id="3" name="pole tekstowe 2"/>
        <xdr:cNvSpPr txBox="1"/>
      </xdr:nvSpPr>
      <xdr:spPr>
        <a:xfrm>
          <a:off x="2676525" y="11925301"/>
          <a:ext cx="9334500" cy="790574"/>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solidFill>
                <a:schemeClr val="dk1"/>
              </a:solidFill>
              <a:effectLst/>
              <a:latin typeface="+mn-lt"/>
              <a:ea typeface="+mn-ea"/>
              <a:cs typeface="+mn-cs"/>
            </a:rPr>
            <a:t>Koszty jednostkowe zróżnicowano w zależności od dwóch kategorii pojazdów: samochody lekkie LV i samochody ciężarowe HGV. W przypadku, jeżeli rezultaty prognozy ruchu zostały przedstawione w podziale na standardowe 5 kategorii pojazdów, to powinny one zostać potraktowane w sposób następujący: </a:t>
          </a:r>
        </a:p>
        <a:p>
          <a:r>
            <a:rPr lang="pl-PL" sz="1100">
              <a:solidFill>
                <a:schemeClr val="dk1"/>
              </a:solidFill>
              <a:effectLst/>
              <a:latin typeface="+mn-lt"/>
              <a:ea typeface="+mn-ea"/>
              <a:cs typeface="+mn-cs"/>
            </a:rPr>
            <a:t>- koszty jednostkowe dla LV należy przyjąć dla samochodów osobowych (SO) i samochodów dostawczych (SD); </a:t>
          </a:r>
        </a:p>
        <a:p>
          <a:r>
            <a:rPr lang="pl-PL" sz="1100">
              <a:solidFill>
                <a:schemeClr val="dk1"/>
              </a:solidFill>
              <a:effectLst/>
              <a:latin typeface="+mn-lt"/>
              <a:ea typeface="+mn-ea"/>
              <a:cs typeface="+mn-cs"/>
            </a:rPr>
            <a:t>- koszty jednostkowe dla HGV należy przyjąć dla samochodów ciężarowych bez przyczep (SC), samochodów ciężarowych z przyczepami (SCp) oraz autobusów (A).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9525</xdr:colOff>
      <xdr:row>29</xdr:row>
      <xdr:rowOff>9525</xdr:rowOff>
    </xdr:from>
    <xdr:to>
      <xdr:col>29</xdr:col>
      <xdr:colOff>0</xdr:colOff>
      <xdr:row>34</xdr:row>
      <xdr:rowOff>219075</xdr:rowOff>
    </xdr:to>
    <xdr:sp macro="" textlink="">
      <xdr:nvSpPr>
        <xdr:cNvPr id="3" name="pole tekstowe 2"/>
        <xdr:cNvSpPr txBox="1"/>
      </xdr:nvSpPr>
      <xdr:spPr>
        <a:xfrm>
          <a:off x="6257925" y="5610225"/>
          <a:ext cx="7000875" cy="11620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solidFill>
                <a:schemeClr val="dk1"/>
              </a:solidFill>
              <a:effectLst/>
              <a:latin typeface="+mn-lt"/>
              <a:ea typeface="+mn-ea"/>
              <a:cs typeface="+mn-cs"/>
            </a:rPr>
            <a:t>Emisje i koszty jednostkowe zróżnicowano w zależności od dwóch kategorii pojazdów: samochody lekkie LV i samochody ciężarowe HGV. W przypadku, jeżeli rezultaty prognozy ruchu zostały przedstawione w podziale na standardowe 5 kategorii pojazdów, to powinny one zostać potraktowane w sposób następujący: </a:t>
          </a:r>
        </a:p>
        <a:p>
          <a:r>
            <a:rPr lang="pl-PL" sz="1100">
              <a:solidFill>
                <a:schemeClr val="dk1"/>
              </a:solidFill>
              <a:effectLst/>
              <a:latin typeface="+mn-lt"/>
              <a:ea typeface="+mn-ea"/>
              <a:cs typeface="+mn-cs"/>
            </a:rPr>
            <a:t>- emisje i koszty jednostkowe dla LV należy przyjąć dla samochodów osobowych (SO) i samochodów dostawczych (SD); </a:t>
          </a:r>
        </a:p>
        <a:p>
          <a:r>
            <a:rPr lang="pl-PL" sz="1100">
              <a:solidFill>
                <a:schemeClr val="dk1"/>
              </a:solidFill>
              <a:effectLst/>
              <a:latin typeface="+mn-lt"/>
              <a:ea typeface="+mn-ea"/>
              <a:cs typeface="+mn-cs"/>
            </a:rPr>
            <a:t>- emisje i koszty jednostkowe dla HGV należy przyjąć dla samochodów ciężarowych bez przyczep (SC), samochodów ciężarowych z przyczepami (SCp) oraz autobusów (A). </a:t>
          </a:r>
        </a:p>
      </xdr:txBody>
    </xdr:sp>
    <xdr:clientData/>
  </xdr:twoCellAnchor>
  <xdr:twoCellAnchor>
    <xdr:from>
      <xdr:col>22</xdr:col>
      <xdr:colOff>419100</xdr:colOff>
      <xdr:row>79</xdr:row>
      <xdr:rowOff>219075</xdr:rowOff>
    </xdr:from>
    <xdr:to>
      <xdr:col>31</xdr:col>
      <xdr:colOff>0</xdr:colOff>
      <xdr:row>89</xdr:row>
      <xdr:rowOff>171450</xdr:rowOff>
    </xdr:to>
    <xdr:sp macro="" textlink="">
      <xdr:nvSpPr>
        <xdr:cNvPr id="4" name="pole tekstowe 3"/>
        <xdr:cNvSpPr txBox="1"/>
      </xdr:nvSpPr>
      <xdr:spPr>
        <a:xfrm>
          <a:off x="8496300" y="15563850"/>
          <a:ext cx="5981700" cy="200977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solidFill>
                <a:schemeClr val="dk1"/>
              </a:solidFill>
              <a:effectLst/>
              <a:latin typeface="+mn-lt"/>
              <a:ea typeface="+mn-ea"/>
              <a:cs typeface="+mn-cs"/>
            </a:rPr>
            <a:t>Stawka jednostkowa „shadow cost of</a:t>
          </a:r>
          <a:r>
            <a:rPr lang="pl-PL" sz="1100" baseline="0">
              <a:solidFill>
                <a:schemeClr val="dk1"/>
              </a:solidFill>
              <a:effectLst/>
              <a:latin typeface="+mn-lt"/>
              <a:ea typeface="+mn-ea"/>
              <a:cs typeface="+mn-cs"/>
            </a:rPr>
            <a:t> carbon</a:t>
          </a:r>
          <a:r>
            <a:rPr lang="pl-PL" sz="1100">
              <a:solidFill>
                <a:schemeClr val="dk1"/>
              </a:solidFill>
              <a:effectLst/>
              <a:latin typeface="+mn-lt"/>
              <a:ea typeface="+mn-ea"/>
              <a:cs typeface="+mn-cs"/>
            </a:rPr>
            <a:t>” PLN/t CO</a:t>
          </a:r>
          <a:r>
            <a:rPr lang="pl-PL" sz="1100" baseline="-25000">
              <a:solidFill>
                <a:schemeClr val="dk1"/>
              </a:solidFill>
              <a:effectLst/>
              <a:latin typeface="+mn-lt"/>
              <a:ea typeface="+mn-ea"/>
              <a:cs typeface="+mn-cs"/>
            </a:rPr>
            <a:t>2</a:t>
          </a:r>
          <a:r>
            <a:rPr lang="pl-PL" sz="1100">
              <a:solidFill>
                <a:schemeClr val="dk1"/>
              </a:solidFill>
              <a:effectLst/>
              <a:latin typeface="+mn-lt"/>
              <a:ea typeface="+mn-ea"/>
              <a:cs typeface="+mn-cs"/>
            </a:rPr>
            <a:t>e określona na podstawie EIB Group Climate Bank Roadmap (2020) (Annex 5. Aligned carbon prices, str. 121): </a:t>
          </a:r>
          <a:endParaRPr lang="pl-PL">
            <a:effectLst/>
          </a:endParaRPr>
        </a:p>
        <a:p>
          <a:r>
            <a:rPr lang="pl-PL" sz="1100">
              <a:solidFill>
                <a:schemeClr val="dk1"/>
              </a:solidFill>
              <a:effectLst/>
              <a:latin typeface="+mn-lt"/>
              <a:ea typeface="+mn-ea"/>
              <a:cs typeface="+mn-cs"/>
            </a:rPr>
            <a:t>„</a:t>
          </a:r>
          <a:r>
            <a:rPr lang="pl-PL" sz="1100" i="1">
              <a:solidFill>
                <a:schemeClr val="dk1"/>
              </a:solidFill>
              <a:effectLst/>
              <a:latin typeface="+mn-lt"/>
              <a:ea typeface="+mn-ea"/>
              <a:cs typeface="+mn-cs"/>
            </a:rPr>
            <a:t>...it is proposed to align the Bank’s shadow cost of carbon to reflect the best available evidence on the cost of meeting the Paris temperature targets. It is therefore proposed to anchor the EIB shadow cost in median values from the review of the IAMC database, as shown in Figure A9. Rounding out the median estimates in 2020, 2030 and 2050, and linearly interpolating for years in between gives the values in Table A6.</a:t>
          </a:r>
          <a:r>
            <a:rPr lang="pl-PL" sz="1100">
              <a:solidFill>
                <a:schemeClr val="dk1"/>
              </a:solidFill>
              <a:effectLst/>
              <a:latin typeface="+mn-lt"/>
              <a:ea typeface="+mn-ea"/>
              <a:cs typeface="+mn-cs"/>
            </a:rPr>
            <a:t>” </a:t>
          </a:r>
          <a:endParaRPr lang="pl-PL">
            <a:effectLst/>
          </a:endParaRPr>
        </a:p>
        <a:p>
          <a:r>
            <a:rPr lang="pl-PL" sz="1100">
              <a:solidFill>
                <a:schemeClr val="dk1"/>
              </a:solidFill>
              <a:effectLst/>
              <a:latin typeface="+mn-lt"/>
              <a:ea typeface="+mn-ea"/>
              <a:cs typeface="+mn-cs"/>
            </a:rPr>
            <a:t>„</a:t>
          </a:r>
          <a:r>
            <a:rPr lang="pl-PL" sz="1100" i="1">
              <a:solidFill>
                <a:schemeClr val="dk1"/>
              </a:solidFill>
              <a:effectLst/>
              <a:latin typeface="+mn-lt"/>
              <a:ea typeface="+mn-ea"/>
              <a:cs typeface="+mn-cs"/>
            </a:rPr>
            <a:t>These are values measured in real terms – i.e. in 2016 euros.</a:t>
          </a:r>
          <a:r>
            <a:rPr lang="pl-PL" sz="1100">
              <a:solidFill>
                <a:schemeClr val="dk1"/>
              </a:solidFill>
              <a:effectLst/>
              <a:latin typeface="+mn-lt"/>
              <a:ea typeface="+mn-ea"/>
              <a:cs typeface="+mn-cs"/>
            </a:rPr>
            <a:t>” </a:t>
          </a:r>
          <a:endParaRPr lang="pl-PL">
            <a:effectLst/>
          </a:endParaRPr>
        </a:p>
        <a:p>
          <a:r>
            <a:rPr lang="pl-PL" sz="1100">
              <a:solidFill>
                <a:schemeClr val="dk1"/>
              </a:solidFill>
              <a:effectLst/>
              <a:latin typeface="+mn-lt"/>
              <a:ea typeface="+mn-ea"/>
              <a:cs typeface="+mn-cs"/>
            </a:rPr>
            <a:t>„</a:t>
          </a:r>
          <a:r>
            <a:rPr lang="pl-PL" sz="1100" i="1">
              <a:solidFill>
                <a:schemeClr val="dk1"/>
              </a:solidFill>
              <a:effectLst/>
              <a:latin typeface="+mn-lt"/>
              <a:ea typeface="+mn-ea"/>
              <a:cs typeface="+mn-cs"/>
            </a:rPr>
            <a:t>...these figures are only used to estimate the value of net carbon savings or emissions. Demand forecasts and other related aspects of economic analysis are driven by actual market price signals, influenced by the full range of supportive policies.</a:t>
          </a:r>
          <a:r>
            <a:rPr lang="pl-PL" sz="1100">
              <a:solidFill>
                <a:schemeClr val="dk1"/>
              </a:solidFill>
              <a:effectLst/>
              <a:latin typeface="+mn-lt"/>
              <a:ea typeface="+mn-ea"/>
              <a:cs typeface="+mn-cs"/>
            </a:rPr>
            <a:t>” </a:t>
          </a:r>
          <a:endParaRPr lang="pl-PL" sz="1100"/>
        </a:p>
      </xdr:txBody>
    </xdr:sp>
    <xdr:clientData/>
  </xdr:twoCellAnchor>
  <xdr:twoCellAnchor>
    <xdr:from>
      <xdr:col>15</xdr:col>
      <xdr:colOff>28574</xdr:colOff>
      <xdr:row>120</xdr:row>
      <xdr:rowOff>133351</xdr:rowOff>
    </xdr:from>
    <xdr:to>
      <xdr:col>26</xdr:col>
      <xdr:colOff>590550</xdr:colOff>
      <xdr:row>133</xdr:row>
      <xdr:rowOff>152400</xdr:rowOff>
    </xdr:to>
    <xdr:sp macro="" textlink="">
      <xdr:nvSpPr>
        <xdr:cNvPr id="5" name="pole tekstowe 4"/>
        <xdr:cNvSpPr txBox="1"/>
      </xdr:nvSpPr>
      <xdr:spPr>
        <a:xfrm>
          <a:off x="2686049" y="24812626"/>
          <a:ext cx="9334501" cy="2495549"/>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 Niniejsze podejście do oszacowania emisji gazów cieplarnianych przez pojazdy elektryczne (w tym elektryczne pojazdy drogowe i pociągi) jest oparte na prognozie redukcji wskaźnika emisji gazów cieplarnianych dla krajowej sieci elektroenergetycznej, ustalonej w przybliżeniu</a:t>
          </a:r>
          <a:r>
            <a:rPr lang="pl-PL" sz="1100" baseline="0"/>
            <a:t> na podstawie redukcji udziału energii elektrycznej wytwarzanej z węgla (kamiennego i brunatnego). Nie uwzględnia to, w jaki sposób zmiany udziałów innych źródeł energii mogą wpływać na współczynnik emisji gazów cieplarnianych. Uznaje się to za rozsądne założenie, uwzględniając, że głównie ten ten rodzaj paliwa (węgiel kamienny i brunatny) przyczynia się </a:t>
          </a:r>
          <a:r>
            <a:rPr lang="pl-PL" sz="1100" baseline="0">
              <a:solidFill>
                <a:schemeClr val="dk1"/>
              </a:solidFill>
              <a:effectLst/>
              <a:latin typeface="+mn-lt"/>
              <a:ea typeface="+mn-ea"/>
              <a:cs typeface="+mn-cs"/>
            </a:rPr>
            <a:t>do emisji gazów cieplarnianych przy produkcji energii elektrycznej. </a:t>
          </a:r>
        </a:p>
        <a:p>
          <a:r>
            <a:rPr lang="pl-PL" sz="1100" baseline="0">
              <a:solidFill>
                <a:schemeClr val="dk1"/>
              </a:solidFill>
              <a:effectLst/>
              <a:latin typeface="+mn-lt"/>
              <a:ea typeface="+mn-ea"/>
              <a:cs typeface="+mn-cs"/>
            </a:rPr>
            <a:t>- "EIB Project Carbon Footprint Methodologies" (wersja 11.1, lipiec 2020) przedstawia odmienne wartości </a:t>
          </a:r>
          <a:r>
            <a:rPr lang="pl-PL" sz="1100">
              <a:solidFill>
                <a:schemeClr val="dk1"/>
              </a:solidFill>
              <a:effectLst/>
              <a:latin typeface="+mn-lt"/>
              <a:ea typeface="+mn-ea"/>
              <a:cs typeface="+mn-cs"/>
            </a:rPr>
            <a:t>wskaźników emisji gazów cieplarnianych dla krajowej sieci elektroenergetycznej </a:t>
          </a:r>
          <a:r>
            <a:rPr lang="pl-PL" sz="1100" baseline="0">
              <a:solidFill>
                <a:schemeClr val="dk1"/>
              </a:solidFill>
              <a:effectLst/>
              <a:latin typeface="+mn-lt"/>
              <a:ea typeface="+mn-ea"/>
              <a:cs typeface="+mn-cs"/>
            </a:rPr>
            <a:t>i rekomenduje ich użycie zależnie od źródła energii sieciowej (sieć niskich napięć NN, średnich napięć SN, wysokich napięć WN). W zastosowanym podejściu natomiast przyjęta jest tylko średnia wartość wskaźnika emisji przy wytwarzaniu sieciowej energii elektrycznej (bez uwzględnienia strat energii w przesyle i dystrybucji). Tak samo jak powyżej, uznaje się to za rozsądne założenie oparte na uznanym źródle. </a:t>
          </a:r>
        </a:p>
        <a:p>
          <a:r>
            <a:rPr lang="pl-PL" sz="1100" baseline="0">
              <a:solidFill>
                <a:schemeClr val="dk1"/>
              </a:solidFill>
              <a:effectLst/>
              <a:latin typeface="+mn-lt"/>
              <a:ea typeface="+mn-ea"/>
              <a:cs typeface="+mn-cs"/>
            </a:rPr>
            <a:t>- W ramach koniecznych uproszczeń oraz ze względu na zastrzeżenia metodologiczne, przyszłe zmiany w polskim miksie energetycznym nie zostały odzwierciedlone w emisjach zanieczyszczeń powietrza. W szczególności, redukcja wskaźnika </a:t>
          </a:r>
          <a:r>
            <a:rPr lang="pl-PL" sz="1100">
              <a:solidFill>
                <a:schemeClr val="dk1"/>
              </a:solidFill>
              <a:effectLst/>
              <a:latin typeface="+mn-lt"/>
              <a:ea typeface="+mn-ea"/>
              <a:cs typeface="+mn-cs"/>
            </a:rPr>
            <a:t>emisji gazów cieplarnianych dla krajowej sieci elektroenergetycznej nie może zostać bezpośrednio zastosowana do emisji pyłów nie pochodzących ze spalin (</a:t>
          </a:r>
          <a:r>
            <a:rPr lang="en-GB" sz="1100">
              <a:solidFill>
                <a:schemeClr val="dk1"/>
              </a:solidFill>
              <a:effectLst/>
              <a:latin typeface="+mn-lt"/>
              <a:ea typeface="+mn-ea"/>
              <a:cs typeface="+mn-cs"/>
            </a:rPr>
            <a:t>non-exhaust particulate matter</a:t>
          </a:r>
          <a:r>
            <a:rPr lang="pl-PL" sz="1100">
              <a:solidFill>
                <a:schemeClr val="dk1"/>
              </a:solidFill>
              <a:effectLst/>
              <a:latin typeface="+mn-lt"/>
              <a:ea typeface="+mn-ea"/>
              <a:cs typeface="+mn-cs"/>
            </a:rPr>
            <a:t>). </a:t>
          </a:r>
        </a:p>
        <a:p>
          <a:r>
            <a:rPr lang="pl-PL" sz="1100">
              <a:solidFill>
                <a:schemeClr val="dk1"/>
              </a:solidFill>
              <a:effectLst/>
              <a:latin typeface="+mn-lt"/>
              <a:ea typeface="+mn-ea"/>
              <a:cs typeface="+mn-cs"/>
            </a:rPr>
            <a:t>- Prognozowane zmiany </a:t>
          </a:r>
          <a:r>
            <a:rPr lang="pl-PL" sz="1100" baseline="0">
              <a:solidFill>
                <a:schemeClr val="dk1"/>
              </a:solidFill>
              <a:effectLst/>
              <a:latin typeface="+mn-lt"/>
              <a:ea typeface="+mn-ea"/>
              <a:cs typeface="+mn-cs"/>
            </a:rPr>
            <a:t>w krajowym miksie energetycznym nie zostały również odzwierciedlone w kosztach eksploatacji (VOC) pojazdów napędzanych energią elektryczną, w tym elektrycznych pojazdów drogowych i pociągów. </a:t>
          </a:r>
          <a:endParaRPr lang="pl-PL"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9525</xdr:colOff>
      <xdr:row>69</xdr:row>
      <xdr:rowOff>161925</xdr:rowOff>
    </xdr:from>
    <xdr:to>
      <xdr:col>35</xdr:col>
      <xdr:colOff>533401</xdr:colOff>
      <xdr:row>71</xdr:row>
      <xdr:rowOff>209550</xdr:rowOff>
    </xdr:to>
    <xdr:sp macro="" textlink="">
      <xdr:nvSpPr>
        <xdr:cNvPr id="5" name="pole tekstowe 4"/>
        <xdr:cNvSpPr txBox="1"/>
      </xdr:nvSpPr>
      <xdr:spPr>
        <a:xfrm>
          <a:off x="6991350" y="17097375"/>
          <a:ext cx="8448676" cy="6286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solidFill>
                <a:schemeClr val="dk1"/>
              </a:solidFill>
              <a:effectLst/>
              <a:latin typeface="+mn-lt"/>
              <a:ea typeface="+mn-ea"/>
              <a:cs typeface="+mn-cs"/>
            </a:rPr>
            <a:t>Nie</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są uwzględnione przyszłe zmiany emisyjności pociągów z</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silnikami spalinowymi ani energochłonności pociągów z</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silnikami elektrycznymi.  </a:t>
          </a:r>
        </a:p>
        <a:p>
          <a:r>
            <a:rPr lang="pl-PL" sz="1100">
              <a:solidFill>
                <a:schemeClr val="dk1"/>
              </a:solidFill>
              <a:effectLst/>
              <a:latin typeface="+mn-lt"/>
              <a:ea typeface="+mn-ea"/>
              <a:cs typeface="+mn-cs"/>
            </a:rPr>
            <a:t>Dla potrzeb analizy projektów przedstawianych do oceny przez CUPT należy przyjąć konserwatywne założenie, że wskaźniki emisyjności pociągów z</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silnikami spalinowymi oraz energochłonności pociągów z</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silnikami elektrycznymi w</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Polsce pozostaną na wyjściowym poziomie (2019). </a:t>
          </a:r>
        </a:p>
      </xdr:txBody>
    </xdr:sp>
    <xdr:clientData/>
  </xdr:twoCellAnchor>
  <xdr:twoCellAnchor>
    <xdr:from>
      <xdr:col>15</xdr:col>
      <xdr:colOff>28575</xdr:colOff>
      <xdr:row>13</xdr:row>
      <xdr:rowOff>76200</xdr:rowOff>
    </xdr:from>
    <xdr:to>
      <xdr:col>30</xdr:col>
      <xdr:colOff>161926</xdr:colOff>
      <xdr:row>26</xdr:row>
      <xdr:rowOff>104775</xdr:rowOff>
    </xdr:to>
    <xdr:sp macro="" textlink="">
      <xdr:nvSpPr>
        <xdr:cNvPr id="3" name="pole tekstowe 2"/>
        <xdr:cNvSpPr txBox="1"/>
      </xdr:nvSpPr>
      <xdr:spPr>
        <a:xfrm>
          <a:off x="2686050" y="3352800"/>
          <a:ext cx="9334501" cy="250507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 Niniejsze podejście do oszacowania emisji gazów cieplarnianych przez pojazdy elektryczne (w tym elektryczne pojazdy drogowe i pociągi) jest oparte na prognozie redukcji wskaźnika emisji gazów cieplarnianych dla krajowej sieci elektroenergetycznej, ustalonej w przybliżeniu</a:t>
          </a:r>
          <a:r>
            <a:rPr lang="pl-PL" sz="1100" baseline="0"/>
            <a:t> na podstawie redukcji udziału energii elektrycznej wytwarzanej z węgla (kamiennego i brunatnego). Nie uwzględnia to, w jaki sposób zmiany udziałów innych źródeł energii mogą wpływać na współczynnik emisji gazów cieplarnianych. Uznaje się to za rozsądne założenie, uwzględniając, że głównie ten ten rodzaj paliwa (węgiel kamienny i brunatny) przyczynia się </a:t>
          </a:r>
          <a:r>
            <a:rPr lang="pl-PL" sz="1100" baseline="0">
              <a:solidFill>
                <a:schemeClr val="dk1"/>
              </a:solidFill>
              <a:effectLst/>
              <a:latin typeface="+mn-lt"/>
              <a:ea typeface="+mn-ea"/>
              <a:cs typeface="+mn-cs"/>
            </a:rPr>
            <a:t>do emisji gazów cieplarnianych przy produkcji energii elektrycznej. </a:t>
          </a:r>
        </a:p>
        <a:p>
          <a:r>
            <a:rPr lang="pl-PL" sz="1100" baseline="0">
              <a:solidFill>
                <a:schemeClr val="dk1"/>
              </a:solidFill>
              <a:effectLst/>
              <a:latin typeface="+mn-lt"/>
              <a:ea typeface="+mn-ea"/>
              <a:cs typeface="+mn-cs"/>
            </a:rPr>
            <a:t>- "EIB Project Carbon Footprint Methodologies" (wersja 11.1, lipiec 2020) przedstawia odmienne wartości </a:t>
          </a:r>
          <a:r>
            <a:rPr lang="pl-PL" sz="1100">
              <a:solidFill>
                <a:schemeClr val="dk1"/>
              </a:solidFill>
              <a:effectLst/>
              <a:latin typeface="+mn-lt"/>
              <a:ea typeface="+mn-ea"/>
              <a:cs typeface="+mn-cs"/>
            </a:rPr>
            <a:t>wskaźników emisji gazów cieplarnianych dla krajowej sieci elektroenergetycznej </a:t>
          </a:r>
          <a:r>
            <a:rPr lang="pl-PL" sz="1100" baseline="0">
              <a:solidFill>
                <a:schemeClr val="dk1"/>
              </a:solidFill>
              <a:effectLst/>
              <a:latin typeface="+mn-lt"/>
              <a:ea typeface="+mn-ea"/>
              <a:cs typeface="+mn-cs"/>
            </a:rPr>
            <a:t>i rekomenduje ich użycie zależnie od źródła energii sieciowej (sieć niskich napięć NN, średnich napięć SN, wysokich napięć WN). W zastosowanym podejściu natomiast przyjęta jest tylko średnia wartość wskaźnika emisji przy wytwarzaniu sieciowej energii elektrycznej (bez uwzględnienia strat energii w przesyle i dystrybucji). Tak samo jak powyżej, uznaje się to za rozsądne założenie oparte na uznanym źródle. </a:t>
          </a:r>
        </a:p>
        <a:p>
          <a:r>
            <a:rPr lang="pl-PL" sz="1100" baseline="0">
              <a:solidFill>
                <a:schemeClr val="dk1"/>
              </a:solidFill>
              <a:effectLst/>
              <a:latin typeface="+mn-lt"/>
              <a:ea typeface="+mn-ea"/>
              <a:cs typeface="+mn-cs"/>
            </a:rPr>
            <a:t>- W ramach koniecznych uproszczeń oraz ze względu na zastrzeżenia metodologiczne, przyszłe zmiany w polskim miksie energetycznym nie zostały odzwierciedlone w emisjach zanieczyszczeń powietrza. W szczególności, redukcja wskaźnika </a:t>
          </a:r>
          <a:r>
            <a:rPr lang="pl-PL" sz="1100">
              <a:solidFill>
                <a:schemeClr val="dk1"/>
              </a:solidFill>
              <a:effectLst/>
              <a:latin typeface="+mn-lt"/>
              <a:ea typeface="+mn-ea"/>
              <a:cs typeface="+mn-cs"/>
            </a:rPr>
            <a:t>emisji gazów cieplarnianych dla krajowej sieci elektroenergetycznej nie może zostać bezpośrednio zastosowana do emisji pyłów nie pochodzących ze spalin (</a:t>
          </a:r>
          <a:r>
            <a:rPr lang="en-GB" sz="1100">
              <a:solidFill>
                <a:schemeClr val="dk1"/>
              </a:solidFill>
              <a:effectLst/>
              <a:latin typeface="+mn-lt"/>
              <a:ea typeface="+mn-ea"/>
              <a:cs typeface="+mn-cs"/>
            </a:rPr>
            <a:t>non-exhaust particulate matter</a:t>
          </a:r>
          <a:r>
            <a:rPr lang="pl-PL" sz="1100">
              <a:solidFill>
                <a:schemeClr val="dk1"/>
              </a:solidFill>
              <a:effectLst/>
              <a:latin typeface="+mn-lt"/>
              <a:ea typeface="+mn-ea"/>
              <a:cs typeface="+mn-cs"/>
            </a:rPr>
            <a:t>). </a:t>
          </a:r>
        </a:p>
        <a:p>
          <a:r>
            <a:rPr lang="pl-PL" sz="1100">
              <a:solidFill>
                <a:schemeClr val="dk1"/>
              </a:solidFill>
              <a:effectLst/>
              <a:latin typeface="+mn-lt"/>
              <a:ea typeface="+mn-ea"/>
              <a:cs typeface="+mn-cs"/>
            </a:rPr>
            <a:t>- Prognozowane zmiany </a:t>
          </a:r>
          <a:r>
            <a:rPr lang="pl-PL" sz="1100" baseline="0">
              <a:solidFill>
                <a:schemeClr val="dk1"/>
              </a:solidFill>
              <a:effectLst/>
              <a:latin typeface="+mn-lt"/>
              <a:ea typeface="+mn-ea"/>
              <a:cs typeface="+mn-cs"/>
            </a:rPr>
            <a:t>w krajowym miksie energetycznym nie zostały również odzwierciedlone w kosztach eksploatacji (VOC) pojazdów napędzanych energią elektryczną, w tym elektrycznych pojazdów drogowych i pociągów. </a:t>
          </a:r>
          <a:endParaRPr lang="pl-PL"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247650</xdr:colOff>
      <xdr:row>42</xdr:row>
      <xdr:rowOff>0</xdr:rowOff>
    </xdr:from>
    <xdr:to>
      <xdr:col>31</xdr:col>
      <xdr:colOff>228600</xdr:colOff>
      <xdr:row>47</xdr:row>
      <xdr:rowOff>38100</xdr:rowOff>
    </xdr:to>
    <xdr:sp macro="" textlink="">
      <xdr:nvSpPr>
        <xdr:cNvPr id="2" name="pole tekstowe 1"/>
        <xdr:cNvSpPr txBox="1"/>
      </xdr:nvSpPr>
      <xdr:spPr>
        <a:xfrm>
          <a:off x="9305925" y="7886700"/>
          <a:ext cx="5467350" cy="9906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solidFill>
                <a:schemeClr val="dk1"/>
              </a:solidFill>
              <a:effectLst/>
              <a:latin typeface="+mn-lt"/>
              <a:ea typeface="+mn-ea"/>
              <a:cs typeface="+mn-cs"/>
            </a:rPr>
            <a:t>Uwzględniono </a:t>
          </a:r>
          <a:r>
            <a:rPr lang="pl-PL" sz="1100" u="sng">
              <a:solidFill>
                <a:schemeClr val="dk1"/>
              </a:solidFill>
              <a:effectLst/>
              <a:latin typeface="+mn-lt"/>
              <a:ea typeface="+mn-ea"/>
              <a:cs typeface="+mn-cs"/>
            </a:rPr>
            <a:t>koszty jednostkowe krańcowe</a:t>
          </a:r>
          <a:r>
            <a:rPr lang="pl-PL" sz="1100">
              <a:solidFill>
                <a:schemeClr val="dk1"/>
              </a:solidFill>
              <a:effectLst/>
              <a:latin typeface="+mn-lt"/>
              <a:ea typeface="+mn-ea"/>
              <a:cs typeface="+mn-cs"/>
            </a:rPr>
            <a:t>. </a:t>
          </a:r>
        </a:p>
        <a:p>
          <a:r>
            <a:rPr lang="pl-PL" sz="1100">
              <a:solidFill>
                <a:schemeClr val="dk1"/>
              </a:solidFill>
              <a:effectLst/>
              <a:latin typeface="+mn-lt"/>
              <a:ea typeface="+mn-ea"/>
              <a:cs typeface="+mn-cs"/>
            </a:rPr>
            <a:t>Cyt. Handbook on the External Costs of Transport, EC (January 2019), str.</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51: </a:t>
          </a:r>
        </a:p>
        <a:p>
          <a:r>
            <a:rPr lang="pl-PL" sz="1100">
              <a:solidFill>
                <a:schemeClr val="dk1"/>
              </a:solidFill>
              <a:effectLst/>
              <a:latin typeface="+mn-lt"/>
              <a:ea typeface="+mn-ea"/>
              <a:cs typeface="+mn-cs"/>
            </a:rPr>
            <a:t>"</a:t>
          </a:r>
          <a:r>
            <a:rPr lang="pl-PL" sz="1100" i="1">
              <a:solidFill>
                <a:schemeClr val="dk1"/>
              </a:solidFill>
              <a:effectLst/>
              <a:latin typeface="+mn-lt"/>
              <a:ea typeface="+mn-ea"/>
              <a:cs typeface="+mn-cs"/>
            </a:rPr>
            <a:t>For air pollution costs, the marginal costs are virtually the same as the average costs. This is mainly because the dose-response relationships between the immissions of air pollutants and health effects (or other damages) are nearly linear according to epidemiological studies.</a:t>
          </a:r>
          <a:r>
            <a:rPr lang="pl-PL" sz="1100">
              <a:solidFill>
                <a:schemeClr val="dk1"/>
              </a:solidFill>
              <a:effectLst/>
              <a:latin typeface="+mn-lt"/>
              <a:ea typeface="+mn-ea"/>
              <a:cs typeface="+mn-cs"/>
            </a:rPr>
            <a:t>" </a:t>
          </a:r>
        </a:p>
      </xdr:txBody>
    </xdr:sp>
    <xdr:clientData/>
  </xdr:twoCellAnchor>
  <xdr:twoCellAnchor>
    <xdr:from>
      <xdr:col>19</xdr:col>
      <xdr:colOff>0</xdr:colOff>
      <xdr:row>98</xdr:row>
      <xdr:rowOff>0</xdr:rowOff>
    </xdr:from>
    <xdr:to>
      <xdr:col>30</xdr:col>
      <xdr:colOff>361949</xdr:colOff>
      <xdr:row>101</xdr:row>
      <xdr:rowOff>171450</xdr:rowOff>
    </xdr:to>
    <xdr:sp macro="" textlink="">
      <xdr:nvSpPr>
        <xdr:cNvPr id="3" name="pole tekstowe 2"/>
        <xdr:cNvSpPr txBox="1"/>
      </xdr:nvSpPr>
      <xdr:spPr>
        <a:xfrm>
          <a:off x="6315075" y="19897725"/>
          <a:ext cx="7981949" cy="11239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solidFill>
                <a:schemeClr val="dk1"/>
              </a:solidFill>
              <a:effectLst/>
              <a:latin typeface="+mn-lt"/>
              <a:ea typeface="+mn-ea"/>
              <a:cs typeface="+mn-cs"/>
            </a:rPr>
            <a:t>Koszty jednostkowe zróżnicowano w</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zależności od dwóch kategorii pojazdów: samochody lekkie LV i</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samochody ciężarowe HGV. W</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przypadku, jeżeli rezultaty prognozy ruchu zostały przedstawione w</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podziale na standardowe 5</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kategorii pojazdów, to powinny one zostać potraktowane w</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sposób następujący: </a:t>
          </a:r>
        </a:p>
        <a:p>
          <a:r>
            <a:rPr lang="pl-PL" sz="1100">
              <a:solidFill>
                <a:schemeClr val="dk1"/>
              </a:solidFill>
              <a:effectLst/>
              <a:latin typeface="+mn-lt"/>
              <a:ea typeface="+mn-ea"/>
              <a:cs typeface="+mn-cs"/>
            </a:rPr>
            <a:t>-</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koszty jednostkowe dla LV należy przyjąć dla samochodów osobowych (SO) i</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samochodów dostawczych (SD); </a:t>
          </a:r>
        </a:p>
        <a:p>
          <a:r>
            <a:rPr lang="pl-PL" sz="1100">
              <a:solidFill>
                <a:schemeClr val="dk1"/>
              </a:solidFill>
              <a:effectLst/>
              <a:latin typeface="+mn-lt"/>
              <a:ea typeface="+mn-ea"/>
              <a:cs typeface="+mn-cs"/>
            </a:rPr>
            <a:t>-</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koszty jednostkowe dla HGV należy przyjąć dla samochodów ciężarowych bez przyczep (SC), samochodów ciężarowych z</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przyczepami (SCp) oraz autobusów (A).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190500</xdr:colOff>
      <xdr:row>7</xdr:row>
      <xdr:rowOff>28575</xdr:rowOff>
    </xdr:from>
    <xdr:to>
      <xdr:col>31</xdr:col>
      <xdr:colOff>171450</xdr:colOff>
      <xdr:row>8</xdr:row>
      <xdr:rowOff>428625</xdr:rowOff>
    </xdr:to>
    <xdr:sp macro="" textlink="">
      <xdr:nvSpPr>
        <xdr:cNvPr id="2" name="pole tekstowe 1"/>
        <xdr:cNvSpPr txBox="1"/>
      </xdr:nvSpPr>
      <xdr:spPr>
        <a:xfrm>
          <a:off x="10734675" y="1819275"/>
          <a:ext cx="5467350" cy="9715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solidFill>
                <a:schemeClr val="dk1"/>
              </a:solidFill>
              <a:effectLst/>
              <a:latin typeface="+mn-lt"/>
              <a:ea typeface="+mn-ea"/>
              <a:cs typeface="+mn-cs"/>
            </a:rPr>
            <a:t>Uwzględniono </a:t>
          </a:r>
          <a:r>
            <a:rPr lang="pl-PL" sz="1100" u="sng">
              <a:solidFill>
                <a:schemeClr val="dk1"/>
              </a:solidFill>
              <a:effectLst/>
              <a:latin typeface="+mn-lt"/>
              <a:ea typeface="+mn-ea"/>
              <a:cs typeface="+mn-cs"/>
            </a:rPr>
            <a:t>koszty jednostkowe krańcowe</a:t>
          </a:r>
          <a:r>
            <a:rPr lang="pl-PL" sz="1100">
              <a:solidFill>
                <a:schemeClr val="dk1"/>
              </a:solidFill>
              <a:effectLst/>
              <a:latin typeface="+mn-lt"/>
              <a:ea typeface="+mn-ea"/>
              <a:cs typeface="+mn-cs"/>
            </a:rPr>
            <a:t>. </a:t>
          </a:r>
        </a:p>
        <a:p>
          <a:r>
            <a:rPr lang="pl-PL" sz="1100">
              <a:solidFill>
                <a:schemeClr val="dk1"/>
              </a:solidFill>
              <a:effectLst/>
              <a:latin typeface="+mn-lt"/>
              <a:ea typeface="+mn-ea"/>
              <a:cs typeface="+mn-cs"/>
            </a:rPr>
            <a:t>Cyt. Handbook on the External Costs of Transport, EC (January 2019), str.</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51: </a:t>
          </a:r>
        </a:p>
        <a:p>
          <a:r>
            <a:rPr lang="pl-PL" sz="1100">
              <a:solidFill>
                <a:schemeClr val="dk1"/>
              </a:solidFill>
              <a:effectLst/>
              <a:latin typeface="+mn-lt"/>
              <a:ea typeface="+mn-ea"/>
              <a:cs typeface="+mn-cs"/>
            </a:rPr>
            <a:t>"</a:t>
          </a:r>
          <a:r>
            <a:rPr lang="pl-PL" sz="1100" i="1">
              <a:solidFill>
                <a:schemeClr val="dk1"/>
              </a:solidFill>
              <a:effectLst/>
              <a:latin typeface="+mn-lt"/>
              <a:ea typeface="+mn-ea"/>
              <a:cs typeface="+mn-cs"/>
            </a:rPr>
            <a:t>For air pollution costs, the marginal costs are virtually the same as the average costs. This is mainly because the dose-response relationships between the immissions of air pollutants and health effects (or other damages) are nearly linear according to epidemiological studies.</a:t>
          </a:r>
          <a:r>
            <a:rPr lang="pl-PL" sz="1100">
              <a:solidFill>
                <a:schemeClr val="dk1"/>
              </a:solidFill>
              <a:effectLst/>
              <a:latin typeface="+mn-lt"/>
              <a:ea typeface="+mn-ea"/>
              <a:cs typeface="+mn-cs"/>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47625</xdr:colOff>
      <xdr:row>52</xdr:row>
      <xdr:rowOff>180975</xdr:rowOff>
    </xdr:from>
    <xdr:to>
      <xdr:col>15</xdr:col>
      <xdr:colOff>676275</xdr:colOff>
      <xdr:row>60</xdr:row>
      <xdr:rowOff>28575</xdr:rowOff>
    </xdr:to>
    <xdr:sp macro="" textlink="">
      <xdr:nvSpPr>
        <xdr:cNvPr id="2" name="pole tekstowe 1"/>
        <xdr:cNvSpPr txBox="1"/>
      </xdr:nvSpPr>
      <xdr:spPr>
        <a:xfrm>
          <a:off x="2038350" y="4333875"/>
          <a:ext cx="4533900" cy="16383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solidFill>
                <a:schemeClr val="dk1"/>
              </a:solidFill>
              <a:effectLst/>
              <a:latin typeface="+mn-lt"/>
              <a:ea typeface="+mn-ea"/>
              <a:cs typeface="+mn-cs"/>
            </a:rPr>
            <a:t>Uwzględniono </a:t>
          </a:r>
          <a:r>
            <a:rPr lang="pl-PL" sz="1100" u="sng">
              <a:solidFill>
                <a:schemeClr val="dk1"/>
              </a:solidFill>
              <a:effectLst/>
              <a:latin typeface="+mn-lt"/>
              <a:ea typeface="+mn-ea"/>
              <a:cs typeface="+mn-cs"/>
            </a:rPr>
            <a:t>koszty jednostkowe średnie</a:t>
          </a:r>
          <a:r>
            <a:rPr lang="pl-PL" sz="1100">
              <a:solidFill>
                <a:schemeClr val="dk1"/>
              </a:solidFill>
              <a:effectLst/>
              <a:latin typeface="+mn-lt"/>
              <a:ea typeface="+mn-ea"/>
              <a:cs typeface="+mn-cs"/>
            </a:rPr>
            <a:t> (nie krańcowe). Koszty krańcowe są dostępne w opracowaniu źródłowym dla bardzo wielu szczegółowo określonych kategorii</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różnych środków transportu (pkt 4.4 Marginal air pollution costs for selected cases). Cyt. Handbook on the External Costs of Transport, EC (January 2019), str. 51: </a:t>
          </a:r>
        </a:p>
        <a:p>
          <a:r>
            <a:rPr lang="pl-PL" sz="1100">
              <a:solidFill>
                <a:schemeClr val="dk1"/>
              </a:solidFill>
              <a:effectLst/>
              <a:latin typeface="+mn-lt"/>
              <a:ea typeface="+mn-ea"/>
              <a:cs typeface="+mn-cs"/>
            </a:rPr>
            <a:t>"</a:t>
          </a:r>
          <a:r>
            <a:rPr lang="pl-PL" sz="1100" i="1">
              <a:solidFill>
                <a:schemeClr val="dk1"/>
              </a:solidFill>
              <a:effectLst/>
              <a:latin typeface="+mn-lt"/>
              <a:ea typeface="+mn-ea"/>
              <a:cs typeface="+mn-cs"/>
            </a:rPr>
            <a:t>For air pollution costs, the marginal costs are virtually the same as the average costs. This is mainly because the dose-response relationships between the immissions of air pollutants and health effects (or other damages) are nearly linear according to epidemiological studies.</a:t>
          </a:r>
          <a:r>
            <a:rPr lang="pl-PL" sz="1100">
              <a:solidFill>
                <a:schemeClr val="dk1"/>
              </a:solidFill>
              <a:effectLst/>
              <a:latin typeface="+mn-lt"/>
              <a:ea typeface="+mn-ea"/>
              <a:cs typeface="+mn-cs"/>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25</xdr:col>
      <xdr:colOff>161925</xdr:colOff>
      <xdr:row>26</xdr:row>
      <xdr:rowOff>9526</xdr:rowOff>
    </xdr:from>
    <xdr:to>
      <xdr:col>33</xdr:col>
      <xdr:colOff>419100</xdr:colOff>
      <xdr:row>34</xdr:row>
      <xdr:rowOff>123826</xdr:rowOff>
    </xdr:to>
    <xdr:sp macro="" textlink="">
      <xdr:nvSpPr>
        <xdr:cNvPr id="2" name="pole tekstowe 1"/>
        <xdr:cNvSpPr txBox="1"/>
      </xdr:nvSpPr>
      <xdr:spPr>
        <a:xfrm>
          <a:off x="10525125" y="3895726"/>
          <a:ext cx="5591175" cy="16383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solidFill>
                <a:schemeClr val="dk1"/>
              </a:solidFill>
              <a:effectLst/>
              <a:latin typeface="+mn-lt"/>
              <a:ea typeface="+mn-ea"/>
              <a:cs typeface="+mn-cs"/>
            </a:rPr>
            <a:t>Uwzględniono </a:t>
          </a:r>
          <a:r>
            <a:rPr lang="pl-PL" sz="1100" u="sng">
              <a:solidFill>
                <a:schemeClr val="dk1"/>
              </a:solidFill>
              <a:effectLst/>
              <a:latin typeface="+mn-lt"/>
              <a:ea typeface="+mn-ea"/>
              <a:cs typeface="+mn-cs"/>
            </a:rPr>
            <a:t>koszty jednostkowe krańcowe</a:t>
          </a:r>
          <a:r>
            <a:rPr lang="pl-PL" sz="1100">
              <a:solidFill>
                <a:schemeClr val="dk1"/>
              </a:solidFill>
              <a:effectLst/>
              <a:latin typeface="+mn-lt"/>
              <a:ea typeface="+mn-ea"/>
              <a:cs typeface="+mn-cs"/>
            </a:rPr>
            <a:t> (nie średnie). </a:t>
          </a:r>
        </a:p>
        <a:p>
          <a:r>
            <a:rPr lang="pl-PL" sz="1100">
              <a:solidFill>
                <a:schemeClr val="dk1"/>
              </a:solidFill>
              <a:effectLst/>
              <a:latin typeface="+mn-lt"/>
              <a:ea typeface="+mn-ea"/>
              <a:cs typeface="+mn-cs"/>
            </a:rPr>
            <a:t>Koszty krańcowe są dostępne w opracowaniu źródłowym tylko w ujęciu zdezagregowanym i tylko dla UE-28 a nie dla poszczególnych krajów (pkt 6.4 Marginal noise costs). </a:t>
          </a:r>
        </a:p>
        <a:p>
          <a:r>
            <a:rPr lang="en-GB" sz="1100">
              <a:solidFill>
                <a:schemeClr val="dk1"/>
              </a:solidFill>
              <a:effectLst/>
              <a:latin typeface="+mn-lt"/>
              <a:ea typeface="+mn-ea"/>
              <a:cs typeface="+mn-cs"/>
            </a:rPr>
            <a:t>Różnice między stawkami krańcowymi i średnimi oraz uzasadnienie dla stosowania krańcowych przedstawia </a:t>
          </a:r>
          <a:r>
            <a:rPr lang="pl-PL" sz="1100">
              <a:solidFill>
                <a:schemeClr val="dk1"/>
              </a:solidFill>
              <a:effectLst/>
              <a:latin typeface="+mn-lt"/>
              <a:ea typeface="+mn-ea"/>
              <a:cs typeface="+mn-cs"/>
            </a:rPr>
            <a:t>Handbook on the External Costs of Transport, EC (January2019), str. 82: </a:t>
          </a:r>
        </a:p>
        <a:p>
          <a:r>
            <a:rPr lang="pl-PL" sz="1100">
              <a:solidFill>
                <a:schemeClr val="dk1"/>
              </a:solidFill>
              <a:effectLst/>
              <a:latin typeface="+mn-lt"/>
              <a:ea typeface="+mn-ea"/>
              <a:cs typeface="+mn-cs"/>
            </a:rPr>
            <a:t>"</a:t>
          </a:r>
          <a:r>
            <a:rPr lang="pl-PL" sz="1100" i="1">
              <a:solidFill>
                <a:schemeClr val="dk1"/>
              </a:solidFill>
              <a:effectLst/>
              <a:latin typeface="+mn-lt"/>
              <a:ea typeface="+mn-ea"/>
              <a:cs typeface="+mn-cs"/>
            </a:rPr>
            <a:t>Marginal noise costs differ from average noise costs for several reasons, but mainly because local factors influence the noise level and the damage and annoyance level. There are three main cost drivers for marginal noise costs: Population density (...), Existing noise levels (depending on traffic volume, traffic mix and speed) (...), Time of the day (...)</a:t>
          </a:r>
          <a:r>
            <a:rPr lang="pl-PL" sz="1100">
              <a:solidFill>
                <a:schemeClr val="dk1"/>
              </a:solidFill>
              <a:effectLst/>
              <a:latin typeface="+mn-lt"/>
              <a:ea typeface="+mn-ea"/>
              <a:cs typeface="+mn-cs"/>
            </a:rPr>
            <a:t>"</a:t>
          </a:r>
        </a:p>
      </xdr:txBody>
    </xdr:sp>
    <xdr:clientData/>
  </xdr:twoCellAnchor>
  <xdr:twoCellAnchor>
    <xdr:from>
      <xdr:col>15</xdr:col>
      <xdr:colOff>9525</xdr:colOff>
      <xdr:row>9</xdr:row>
      <xdr:rowOff>19050</xdr:rowOff>
    </xdr:from>
    <xdr:to>
      <xdr:col>21</xdr:col>
      <xdr:colOff>657225</xdr:colOff>
      <xdr:row>16</xdr:row>
      <xdr:rowOff>161925</xdr:rowOff>
    </xdr:to>
    <xdr:sp macro="" textlink="">
      <xdr:nvSpPr>
        <xdr:cNvPr id="3" name="pole tekstowe 2"/>
        <xdr:cNvSpPr txBox="1"/>
      </xdr:nvSpPr>
      <xdr:spPr>
        <a:xfrm>
          <a:off x="2647950" y="1619250"/>
          <a:ext cx="5705475" cy="147637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solidFill>
                <a:schemeClr val="dk1"/>
              </a:solidFill>
              <a:effectLst/>
              <a:latin typeface="+mn-lt"/>
              <a:ea typeface="+mn-ea"/>
              <a:cs typeface="+mn-cs"/>
            </a:rPr>
            <a:t>Pierwsza metoda jest oparta o tzw. krańcowe koszty wpływu hałasu. Te koszty jednostkowe są</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silnie zróżnicowane w zależności od ruchu, lokalnych warunków (obszar miejski/ zamiejski) i pory dnia. Ponieważ jednostkowe koszty krańcowe wyrażone są w PLN/poj-km, należy zwrócić uwagę na korzystanie z tych samych formuł obliczeniowych, jakie były stosowane przy pozostałych kategoriach kosztów środowiskowych tak, aby koszty jednostkowe hałasu były również wyrażone w tych jednostkach. Koszty ekonomiczne hałasu oblicza się z uwzględnieniem poszczególnych kategorii pojazdów, oddzielnie dla każdego wariantu i każdego roku analizy ekonomicznej, zgodnie z prognozą ruchu.</a:t>
          </a:r>
        </a:p>
      </xdr:txBody>
    </xdr:sp>
    <xdr:clientData/>
  </xdr:twoCellAnchor>
  <xdr:twoCellAnchor>
    <xdr:from>
      <xdr:col>15</xdr:col>
      <xdr:colOff>19050</xdr:colOff>
      <xdr:row>189</xdr:row>
      <xdr:rowOff>161924</xdr:rowOff>
    </xdr:from>
    <xdr:to>
      <xdr:col>22</xdr:col>
      <xdr:colOff>0</xdr:colOff>
      <xdr:row>203</xdr:row>
      <xdr:rowOff>171449</xdr:rowOff>
    </xdr:to>
    <xdr:sp macro="" textlink="">
      <xdr:nvSpPr>
        <xdr:cNvPr id="4" name="pole tekstowe 3"/>
        <xdr:cNvSpPr txBox="1"/>
      </xdr:nvSpPr>
      <xdr:spPr>
        <a:xfrm>
          <a:off x="2657475" y="41195624"/>
          <a:ext cx="5705475" cy="267652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solidFill>
                <a:schemeClr val="dk1"/>
              </a:solidFill>
              <a:effectLst/>
              <a:latin typeface="+mn-lt"/>
              <a:ea typeface="+mn-ea"/>
              <a:cs typeface="+mn-cs"/>
            </a:rPr>
            <a:t>Druga metoda oparta jest o tzw. średnie koszty hałasu </a:t>
          </a:r>
          <a:r>
            <a:rPr lang="pl-PL" sz="1100" u="none">
              <a:solidFill>
                <a:schemeClr val="dk1"/>
              </a:solidFill>
              <a:effectLst/>
              <a:latin typeface="+mn-lt"/>
              <a:ea typeface="+mn-ea"/>
              <a:cs typeface="+mn-cs"/>
            </a:rPr>
            <a:t>na osobę</a:t>
          </a:r>
          <a:r>
            <a:rPr lang="pl-PL" sz="1100">
              <a:solidFill>
                <a:schemeClr val="dk1"/>
              </a:solidFill>
              <a:effectLst/>
              <a:latin typeface="+mn-lt"/>
              <a:ea typeface="+mn-ea"/>
              <a:cs typeface="+mn-cs"/>
            </a:rPr>
            <a:t>. Jest to metoda dwuetapowa:</a:t>
          </a:r>
        </a:p>
        <a:p>
          <a:r>
            <a:rPr lang="pl-PL" sz="1100">
              <a:solidFill>
                <a:schemeClr val="dk1"/>
              </a:solidFill>
              <a:effectLst/>
              <a:latin typeface="+mn-lt"/>
              <a:ea typeface="+mn-ea"/>
              <a:cs typeface="+mn-cs"/>
            </a:rPr>
            <a:t>(i) Oszacowanie dla W0 i Wn liczby osób narażonych na ponadnormatywny hałas drogowy w rozbiciu na poszczególne grupy pojazdów. Szacunki można przeprowadzić w oparciu o mapy hałasu (jeżeli dostępne) i odpowiednie izofony dla różnych przedziałów 55-59 dB(A), 60-64 dB(A), 65-69 dB(A), 70-74 dB(A) oraz powyżej 75 dB(A). Dla obszarów poniżej 55 dB(A) zakłada się brak negatywnych efektów. Po ustaleniu liczby osób narażonych na poszczególne poziomy hałasu, należy zastosować współczynnik pozwalający obliczyć liczbę osób, których problem hałasu faktycznie dotyczy. </a:t>
          </a:r>
        </a:p>
        <a:p>
          <a:r>
            <a:rPr lang="pl-PL" sz="1100">
              <a:solidFill>
                <a:schemeClr val="dk1"/>
              </a:solidFill>
              <a:effectLst/>
              <a:latin typeface="+mn-lt"/>
              <a:ea typeface="+mn-ea"/>
              <a:cs typeface="+mn-cs"/>
            </a:rPr>
            <a:t>(ii) Określenie całkowitych kosztów poprzez przemnożenie liczby osób narażonych na ponadnormatywny hałas przez odpowiadające poszczególnym przedziałom koszty jednostkowe. </a:t>
          </a:r>
        </a:p>
        <a:p>
          <a:r>
            <a:rPr lang="pl-PL" sz="1100">
              <a:solidFill>
                <a:schemeClr val="dk1"/>
              </a:solidFill>
              <a:effectLst/>
              <a:latin typeface="+mn-lt"/>
              <a:ea typeface="+mn-ea"/>
              <a:cs typeface="+mn-cs"/>
            </a:rPr>
            <a:t>Powyższe obliczenia przeprowadza się w oparciu o mapy akustyczne (jeżeli dostępne) dla prognozy pierwszego roku po oddaniu projektu do użytkowania. Dla okresu referencyjnego należy uwzględnić (i) przewidywane zmiany demograficzne oraz (ii) dostępne prognozy lub mapy przyszłych odziaływań hałasu. W przypadku lat, dla których brak jest danych, należy zastosować interpolację liniową. </a:t>
          </a:r>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showGridLines="0" tabSelected="1" workbookViewId="0">
      <selection activeCell="B2" sqref="B2"/>
    </sheetView>
  </sheetViews>
  <sheetFormatPr defaultColWidth="0" defaultRowHeight="15" zeroHeight="1"/>
  <cols>
    <col min="1" max="1" width="9.140625" customWidth="1"/>
    <col min="2" max="2" width="10.140625" bestFit="1" customWidth="1"/>
    <col min="3" max="19" width="9.140625" customWidth="1"/>
    <col min="20" max="16384" width="2" hidden="1"/>
  </cols>
  <sheetData>
    <row r="1" spans="1:19" ht="21">
      <c r="A1" s="4" t="s">
        <v>525</v>
      </c>
      <c r="B1" s="4"/>
      <c r="C1" s="4"/>
      <c r="D1" s="4"/>
      <c r="E1" s="4"/>
      <c r="F1" s="4"/>
      <c r="G1" s="4"/>
      <c r="H1" s="4"/>
      <c r="I1" s="4"/>
      <c r="J1" s="4"/>
      <c r="K1" s="4"/>
      <c r="L1" s="4"/>
      <c r="M1" s="4"/>
      <c r="N1" s="4"/>
      <c r="O1" s="4"/>
      <c r="P1" s="4"/>
      <c r="Q1" s="4"/>
      <c r="R1" s="4"/>
      <c r="S1" s="4"/>
    </row>
    <row r="2" spans="1:19">
      <c r="A2" t="s">
        <v>312</v>
      </c>
      <c r="B2" s="519">
        <v>45436</v>
      </c>
      <c r="C2" s="176"/>
    </row>
    <row r="3" spans="1:19"/>
    <row r="4" spans="1:19">
      <c r="A4" t="s">
        <v>526</v>
      </c>
    </row>
    <row r="5" spans="1:19" s="515" customFormat="1"/>
    <row r="6" spans="1:19">
      <c r="A6" t="s">
        <v>319</v>
      </c>
    </row>
    <row r="7" spans="1:19">
      <c r="A7" s="76" t="s">
        <v>527</v>
      </c>
    </row>
    <row r="8" spans="1:19" s="515" customFormat="1"/>
    <row r="9" spans="1:19" s="520" customFormat="1">
      <c r="A9" s="76" t="s">
        <v>528</v>
      </c>
    </row>
    <row r="10" spans="1:19" s="520" customFormat="1">
      <c r="A10" s="520" t="s">
        <v>529</v>
      </c>
    </row>
    <row r="11" spans="1:19" s="520" customFormat="1">
      <c r="A11" s="76" t="s">
        <v>530</v>
      </c>
    </row>
    <row r="12" spans="1:19" s="592" customFormat="1">
      <c r="A12" s="76"/>
    </row>
    <row r="13" spans="1:19" s="592" customFormat="1">
      <c r="A13" s="76" t="s">
        <v>531</v>
      </c>
    </row>
    <row r="14" spans="1:19" s="592" customFormat="1">
      <c r="A14" s="654" t="s">
        <v>434</v>
      </c>
    </row>
    <row r="15" spans="1:19" s="592" customFormat="1" ht="18">
      <c r="A15" s="654" t="s">
        <v>532</v>
      </c>
    </row>
    <row r="16" spans="1:19" s="520" customFormat="1"/>
    <row r="17" spans="1:10">
      <c r="A17" s="1" t="s">
        <v>313</v>
      </c>
    </row>
    <row r="18" spans="1:10">
      <c r="A18" s="517" t="s">
        <v>314</v>
      </c>
      <c r="J18" s="646"/>
    </row>
    <row r="19" spans="1:10" s="521" customFormat="1">
      <c r="A19" s="517" t="s">
        <v>324</v>
      </c>
    </row>
    <row r="20" spans="1:10" s="521" customFormat="1">
      <c r="A20" s="517" t="s">
        <v>335</v>
      </c>
    </row>
    <row r="21" spans="1:10">
      <c r="A21" s="517" t="s">
        <v>92</v>
      </c>
    </row>
    <row r="22" spans="1:10" s="521" customFormat="1">
      <c r="A22" s="517" t="s">
        <v>366</v>
      </c>
    </row>
    <row r="23" spans="1:10">
      <c r="A23" s="517" t="s">
        <v>29</v>
      </c>
    </row>
    <row r="24" spans="1:10">
      <c r="A24" s="517" t="s">
        <v>30</v>
      </c>
    </row>
    <row r="25" spans="1:10">
      <c r="A25" s="517" t="s">
        <v>118</v>
      </c>
    </row>
    <row r="26" spans="1:10">
      <c r="A26" s="517" t="s">
        <v>234</v>
      </c>
    </row>
    <row r="27" spans="1:10">
      <c r="A27" s="517" t="s">
        <v>315</v>
      </c>
    </row>
    <row r="28" spans="1:10" s="672" customFormat="1">
      <c r="A28" s="517" t="s">
        <v>316</v>
      </c>
    </row>
    <row r="29" spans="1:10">
      <c r="A29" s="517" t="s">
        <v>158</v>
      </c>
    </row>
    <row r="30" spans="1:10">
      <c r="A30" s="517" t="s">
        <v>317</v>
      </c>
    </row>
    <row r="31" spans="1:10">
      <c r="A31" s="517" t="s">
        <v>318</v>
      </c>
    </row>
    <row r="32" spans="1:10" s="529" customFormat="1">
      <c r="A32" s="532" t="s">
        <v>434</v>
      </c>
    </row>
    <row r="33" spans="1:1" s="540" customFormat="1">
      <c r="A33" s="532" t="s">
        <v>427</v>
      </c>
    </row>
    <row r="34" spans="1:1"/>
    <row r="35" spans="1:1" hidden="1"/>
  </sheetData>
  <hyperlinks>
    <hyperlink ref="A18" location="Indeksacja!A1" display="Parametry do przeliczeń walutowych i indeksacji wartości pieniężnych"/>
    <hyperlink ref="A21" location="'VOC eksploatacja samochody'!A1" display="Koszty jednostkowe eksploatacji pojazdów w transporcie drogowym"/>
    <hyperlink ref="A23" location="'Zmiany klimatu (GHG) samochody'!A1" display="Koszty jednostkowe zmian klimatu, transport drogowy"/>
    <hyperlink ref="A24" location="'Zmiany klimatu (GHG) pociągi'!A1" display="Koszty jednostkowe zmian klimatu, transport kolejowy"/>
    <hyperlink ref="A25" location="'Zanieczyszczenia samochody'!A1" display="Koszty jednostkowe zanieczyszczenia powietrza, transport drogowy"/>
    <hyperlink ref="A26" location="'Zanieczyszczenia pociągi'!A1" display="Koszty jednostkowe zanieczyszczenia powietrza, transport kolejowy"/>
    <hyperlink ref="A27" location="'Zanieczyszczenia transp.ląd'!A1" display="Koszty jednostkowe zanieczyszczenia powietrza, transport lądowy ogółem"/>
    <hyperlink ref="A29" location="'Hałas-zagreg.śred.PL'!A1" display="Koszty jednostkowe hałasu w transporcie lądowym"/>
    <hyperlink ref="A28" location="'Hałas-zdezagr.krańc'!A1" display="Koszty jednostkowe hałasu w transporcie lądowym – zdezagregowane"/>
    <hyperlink ref="A30" location="Wypadki!A1" display="Koszty jednostkowe wypadków drogowych"/>
    <hyperlink ref="A31" location="'ECT2019 koszty zewnętrzne'!A1" display="Koszty jednostkowe efektów zewnętrznych transportu – ogółem"/>
    <hyperlink ref="A19" location="'VoT czas pasażerowie'!A1" display="Koszty jednostkowe czasu w przewozach pasażerskich, wszystkie gałęzie transportu"/>
    <hyperlink ref="A20" location="'VoT czas ładunki'!A1" display="Koszty jednostkowe czasu w przewozach ładunków, wszystkie gałęzie transportu"/>
    <hyperlink ref="A22" location="'VOC eksploatacja pociągi'!A1" display="Koszty jednostkowe eksploatacji pociągów w przewozach ładunków"/>
    <hyperlink ref="A32" location="'Utrzymanie dróg'!A1" display="Koszty jednostkowe utrzymania infrastruktury drogowej"/>
    <hyperlink ref="A33" location="'E-Busy emisje'!A1" display="Kalkulacja emisji CO2 i zanieczyszczeń powietrza przez autobusy komunikacji miejskiej"/>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94"/>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0" defaultRowHeight="15" zeroHeight="1" outlineLevelRow="1" outlineLevelCol="1"/>
  <cols>
    <col min="1" max="1" width="30.7109375" customWidth="1"/>
    <col min="2" max="2" width="9.140625" customWidth="1"/>
    <col min="3" max="15" width="1.7109375" hidden="1" customWidth="1" outlineLevel="1"/>
    <col min="16" max="16" width="13.7109375" customWidth="1" collapsed="1"/>
    <col min="17" max="22" width="13.7109375" customWidth="1"/>
    <col min="23" max="62" width="9.140625" customWidth="1"/>
    <col min="63" max="16384" width="9.140625" hidden="1"/>
  </cols>
  <sheetData>
    <row r="1" spans="1:61" ht="21">
      <c r="A1" s="4" t="s">
        <v>234</v>
      </c>
      <c r="B1" s="5"/>
      <c r="C1" s="88"/>
      <c r="D1" s="88"/>
      <c r="E1" s="88"/>
      <c r="F1" s="88"/>
      <c r="G1" s="88"/>
      <c r="H1" s="88"/>
      <c r="I1" s="88"/>
      <c r="J1" s="88"/>
      <c r="K1" s="88"/>
      <c r="L1" s="5"/>
      <c r="M1" s="88"/>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row>
    <row r="2" spans="1:61">
      <c r="A2" s="350" t="str">
        <f>Indeksacja!$A$2</f>
        <v>Dla roku bazowego 2024 właściwe do zastosowania w analizie są wartości kosztów jednostkowych określone według poziomu cenowego z końca roku poprzedniego, tzn. 2023.</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0"/>
      <c r="BC2" s="350"/>
      <c r="BD2" s="350"/>
      <c r="BE2" s="350"/>
      <c r="BF2" s="350"/>
      <c r="BG2" s="350"/>
      <c r="BH2" s="350"/>
      <c r="BI2" s="350"/>
    </row>
    <row r="3" spans="1:61"/>
    <row r="4" spans="1:61" hidden="1" outlineLevel="1">
      <c r="A4" s="1" t="s">
        <v>236</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0"/>
      <c r="AW4" s="350"/>
      <c r="AX4" s="350"/>
      <c r="AY4" s="350"/>
      <c r="AZ4" s="350"/>
      <c r="BA4" s="350"/>
      <c r="BB4" s="350"/>
      <c r="BC4" s="350"/>
      <c r="BD4" s="350"/>
      <c r="BE4" s="350"/>
      <c r="BF4" s="350"/>
      <c r="BG4" s="350"/>
      <c r="BH4" s="350"/>
      <c r="BI4" s="350"/>
    </row>
    <row r="5" spans="1:61" hidden="1" outlineLevel="1">
      <c r="A5" s="1"/>
      <c r="B5" s="350"/>
      <c r="C5" s="350"/>
      <c r="D5" s="350"/>
      <c r="E5" s="350"/>
      <c r="F5" s="350"/>
      <c r="G5" s="350"/>
      <c r="H5" s="350"/>
      <c r="I5" s="350"/>
      <c r="J5" s="350"/>
      <c r="K5" s="350"/>
      <c r="L5" s="350"/>
      <c r="M5" s="350"/>
      <c r="N5" s="350"/>
      <c r="O5" s="350"/>
      <c r="P5" s="833" t="s">
        <v>191</v>
      </c>
      <c r="Q5" s="834"/>
      <c r="R5" s="835"/>
      <c r="S5" s="350"/>
      <c r="T5" s="833" t="s">
        <v>62</v>
      </c>
      <c r="U5" s="834"/>
      <c r="V5" s="835"/>
      <c r="W5" s="350"/>
      <c r="X5" s="350"/>
      <c r="Y5" s="350"/>
      <c r="Z5" s="350"/>
      <c r="AA5" s="350"/>
      <c r="AB5" s="350"/>
      <c r="AC5" s="350"/>
      <c r="AD5" s="350"/>
      <c r="AE5" s="350"/>
      <c r="AF5" s="350"/>
      <c r="AG5" s="350"/>
      <c r="AH5" s="350"/>
      <c r="AI5" s="350"/>
      <c r="AJ5" s="350"/>
      <c r="AK5" s="350"/>
      <c r="AL5" s="350"/>
      <c r="AM5" s="350"/>
      <c r="AN5" s="350"/>
      <c r="AO5" s="350"/>
      <c r="AP5" s="350"/>
      <c r="AQ5" s="350"/>
      <c r="AR5" s="350"/>
      <c r="AS5" s="350"/>
      <c r="AT5" s="350"/>
      <c r="AU5" s="350"/>
      <c r="AV5" s="350"/>
      <c r="AW5" s="350"/>
      <c r="AX5" s="350"/>
      <c r="AY5" s="350"/>
      <c r="AZ5" s="350"/>
      <c r="BA5" s="350"/>
      <c r="BB5" s="350"/>
      <c r="BC5" s="350"/>
      <c r="BD5" s="350"/>
      <c r="BE5" s="350"/>
      <c r="BF5" s="350"/>
      <c r="BG5" s="350"/>
      <c r="BH5" s="350"/>
      <c r="BI5" s="350"/>
    </row>
    <row r="6" spans="1:61" ht="45" hidden="1" outlineLevel="1">
      <c r="A6" s="222"/>
      <c r="B6" s="224" t="s">
        <v>235</v>
      </c>
      <c r="C6" s="223"/>
      <c r="D6" s="223"/>
      <c r="E6" s="223"/>
      <c r="F6" s="223"/>
      <c r="G6" s="223"/>
      <c r="H6" s="223"/>
      <c r="I6" s="223"/>
      <c r="J6" s="223"/>
      <c r="K6" s="223"/>
      <c r="L6" s="223"/>
      <c r="M6" s="223"/>
      <c r="N6" s="223"/>
      <c r="O6" s="223"/>
      <c r="P6" s="389" t="s">
        <v>229</v>
      </c>
      <c r="Q6" s="389" t="s">
        <v>219</v>
      </c>
      <c r="R6" s="389" t="s">
        <v>220</v>
      </c>
      <c r="S6" s="390" t="s">
        <v>223</v>
      </c>
      <c r="T6" s="389" t="s">
        <v>229</v>
      </c>
      <c r="U6" s="389" t="s">
        <v>219</v>
      </c>
      <c r="V6" s="389" t="s">
        <v>220</v>
      </c>
      <c r="W6" s="350"/>
      <c r="X6" s="350"/>
      <c r="Y6" s="350"/>
      <c r="Z6" s="350"/>
      <c r="AA6" s="350"/>
      <c r="AB6" s="350"/>
      <c r="AC6" s="350"/>
      <c r="AD6" s="350"/>
      <c r="AE6" s="350"/>
      <c r="AF6" s="350"/>
      <c r="AG6" s="350"/>
      <c r="AH6" s="350"/>
      <c r="AI6" s="350"/>
      <c r="AJ6" s="350"/>
      <c r="AK6" s="350"/>
      <c r="AL6" s="350"/>
      <c r="AM6" s="350"/>
      <c r="AN6" s="350"/>
      <c r="AO6" s="350"/>
      <c r="AP6" s="350"/>
      <c r="AQ6" s="350"/>
      <c r="AR6" s="350"/>
      <c r="AS6" s="350"/>
      <c r="AT6" s="350"/>
      <c r="AU6" s="350"/>
      <c r="AV6" s="350"/>
      <c r="AW6" s="350"/>
      <c r="AX6" s="350"/>
      <c r="AY6" s="350"/>
      <c r="AZ6" s="350"/>
      <c r="BA6" s="350"/>
      <c r="BB6" s="350"/>
      <c r="BC6" s="350"/>
      <c r="BD6" s="350"/>
      <c r="BE6" s="350"/>
      <c r="BF6" s="350"/>
      <c r="BG6" s="350"/>
      <c r="BH6" s="350"/>
      <c r="BI6" s="350"/>
    </row>
    <row r="7" spans="1:61" hidden="1" outlineLevel="1">
      <c r="A7" s="388" t="s">
        <v>237</v>
      </c>
      <c r="B7" s="388"/>
      <c r="C7" s="388"/>
      <c r="D7" s="388"/>
      <c r="E7" s="388"/>
      <c r="F7" s="388"/>
      <c r="G7" s="388"/>
      <c r="H7" s="388"/>
      <c r="I7" s="388"/>
      <c r="J7" s="388"/>
      <c r="K7" s="388"/>
      <c r="L7" s="388"/>
      <c r="M7" s="388"/>
      <c r="N7" s="388"/>
      <c r="O7" s="388"/>
      <c r="P7" s="399"/>
      <c r="Q7" s="399"/>
      <c r="R7" s="399"/>
      <c r="S7" s="399"/>
      <c r="T7" s="399"/>
      <c r="U7" s="399"/>
      <c r="V7" s="399"/>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50"/>
      <c r="BE7" s="350"/>
      <c r="BF7" s="350"/>
      <c r="BG7" s="350"/>
      <c r="BH7" s="350"/>
      <c r="BI7" s="350"/>
    </row>
    <row r="8" spans="1:61" ht="45" hidden="1" outlineLevel="1">
      <c r="A8" s="318" t="s">
        <v>239</v>
      </c>
      <c r="B8" s="225"/>
      <c r="C8" s="13"/>
      <c r="D8" s="13"/>
      <c r="E8" s="13"/>
      <c r="F8" s="13"/>
      <c r="G8" s="13"/>
      <c r="H8" s="13"/>
      <c r="I8" s="13"/>
      <c r="J8" s="13"/>
      <c r="K8" s="13"/>
      <c r="L8" s="13"/>
      <c r="M8" s="13"/>
      <c r="N8" s="13"/>
      <c r="O8" s="13"/>
      <c r="P8" s="374">
        <v>0.56117054285504231</v>
      </c>
      <c r="Q8" s="374">
        <v>1.1223410857100846</v>
      </c>
      <c r="R8" s="374">
        <v>1.1223410857100846</v>
      </c>
      <c r="S8" s="395" t="str">
        <f>R36</f>
        <v>brak</v>
      </c>
      <c r="T8" s="467" t="str">
        <f>IFERROR(P8*(100%+$S8),"brak")</f>
        <v>brak</v>
      </c>
      <c r="U8" s="467" t="str">
        <f t="shared" ref="U8" si="0">IFERROR(Q8*(100%+$S8),"brak")</f>
        <v>brak</v>
      </c>
      <c r="V8" s="467" t="str">
        <f t="shared" ref="V8" si="1">IFERROR(R8*(100%+$S8),"brak")</f>
        <v>brak</v>
      </c>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0"/>
      <c r="AZ8" s="350"/>
      <c r="BA8" s="350"/>
      <c r="BB8" s="350"/>
      <c r="BC8" s="350"/>
      <c r="BD8" s="350"/>
      <c r="BE8" s="350"/>
      <c r="BF8" s="350"/>
      <c r="BG8" s="350"/>
      <c r="BH8" s="350"/>
      <c r="BI8" s="350"/>
    </row>
    <row r="9" spans="1:61" ht="45" hidden="1" outlineLevel="1">
      <c r="A9" s="428" t="s">
        <v>240</v>
      </c>
      <c r="B9" s="429"/>
      <c r="C9" s="430"/>
      <c r="D9" s="430"/>
      <c r="E9" s="430"/>
      <c r="F9" s="430"/>
      <c r="G9" s="430"/>
      <c r="H9" s="430"/>
      <c r="I9" s="430"/>
      <c r="J9" s="430"/>
      <c r="K9" s="430"/>
      <c r="L9" s="430"/>
      <c r="M9" s="430"/>
      <c r="N9" s="430"/>
      <c r="O9" s="430"/>
      <c r="P9" s="405">
        <v>1.1223410857100846</v>
      </c>
      <c r="Q9" s="405">
        <v>1.1223410857100846</v>
      </c>
      <c r="R9" s="405">
        <v>1.1223410857100846</v>
      </c>
      <c r="S9" s="431">
        <f>R37</f>
        <v>-0.7393802054160864</v>
      </c>
      <c r="T9" s="405">
        <f t="shared" ref="T9:T14" si="2">IFERROR(P9*(100%+$S9),"brak")</f>
        <v>0.2925043032108488</v>
      </c>
      <c r="U9" s="405">
        <f t="shared" ref="U9:U14" si="3">IFERROR(Q9*(100%+$S9),"brak")</f>
        <v>0.2925043032108488</v>
      </c>
      <c r="V9" s="405">
        <f t="shared" ref="V9:V14" si="4">IFERROR(R9*(100%+$S9),"brak")</f>
        <v>0.2925043032108488</v>
      </c>
      <c r="W9" s="350"/>
      <c r="X9" s="350"/>
      <c r="Y9" s="350"/>
      <c r="Z9" s="350"/>
      <c r="AA9" s="350"/>
      <c r="AB9" s="350"/>
      <c r="AC9" s="350"/>
      <c r="AD9" s="350"/>
      <c r="AE9" s="350"/>
      <c r="AF9" s="350"/>
      <c r="AG9" s="350"/>
      <c r="AH9" s="350"/>
      <c r="AI9" s="350"/>
      <c r="AJ9" s="350"/>
      <c r="AK9" s="350"/>
      <c r="AL9" s="350"/>
      <c r="AM9" s="350"/>
      <c r="AN9" s="350"/>
      <c r="AO9" s="350"/>
      <c r="AP9" s="350"/>
      <c r="AQ9" s="350"/>
      <c r="AR9" s="350"/>
      <c r="AS9" s="350"/>
      <c r="AT9" s="350"/>
      <c r="AU9" s="350"/>
      <c r="AV9" s="350"/>
      <c r="AW9" s="350"/>
      <c r="AX9" s="350"/>
      <c r="AY9" s="350"/>
      <c r="AZ9" s="350"/>
      <c r="BA9" s="350"/>
      <c r="BB9" s="350"/>
      <c r="BC9" s="350"/>
      <c r="BD9" s="350"/>
      <c r="BE9" s="350"/>
      <c r="BF9" s="350"/>
      <c r="BG9" s="350"/>
      <c r="BH9" s="350"/>
      <c r="BI9" s="350"/>
    </row>
    <row r="10" spans="1:61" ht="60" hidden="1" outlineLevel="1">
      <c r="A10" s="432" t="s">
        <v>241</v>
      </c>
      <c r="B10" s="433"/>
      <c r="C10" s="434"/>
      <c r="D10" s="434"/>
      <c r="E10" s="434"/>
      <c r="F10" s="434"/>
      <c r="G10" s="434"/>
      <c r="H10" s="434"/>
      <c r="I10" s="434"/>
      <c r="J10" s="434"/>
      <c r="K10" s="434"/>
      <c r="L10" s="434"/>
      <c r="M10" s="434"/>
      <c r="N10" s="434"/>
      <c r="O10" s="434"/>
      <c r="P10" s="435">
        <v>40.614864829379123</v>
      </c>
      <c r="Q10" s="435">
        <v>32.973773114185484</v>
      </c>
      <c r="R10" s="435">
        <v>19.93559860244196</v>
      </c>
      <c r="S10" s="436">
        <f>R38</f>
        <v>-6.2793265895781894E-2</v>
      </c>
      <c r="T10" s="435">
        <f t="shared" si="2"/>
        <v>38.064524822826677</v>
      </c>
      <c r="U10" s="435">
        <f t="shared" si="3"/>
        <v>30.903242211439249</v>
      </c>
      <c r="V10" s="435">
        <f t="shared" si="4"/>
        <v>18.683777258607243</v>
      </c>
      <c r="W10" s="350"/>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0"/>
      <c r="AT10" s="350"/>
      <c r="AU10" s="350"/>
      <c r="AV10" s="350"/>
      <c r="AW10" s="350"/>
      <c r="AX10" s="350"/>
      <c r="AY10" s="350"/>
      <c r="AZ10" s="350"/>
      <c r="BA10" s="350"/>
      <c r="BB10" s="350"/>
      <c r="BC10" s="350"/>
      <c r="BD10" s="350"/>
      <c r="BE10" s="350"/>
      <c r="BF10" s="350"/>
      <c r="BG10" s="350"/>
      <c r="BH10" s="350"/>
      <c r="BI10" s="350"/>
    </row>
    <row r="11" spans="1:61" ht="45" hidden="1" outlineLevel="1">
      <c r="A11" s="437" t="s">
        <v>242</v>
      </c>
      <c r="B11" s="438"/>
      <c r="C11" s="439"/>
      <c r="D11" s="439"/>
      <c r="E11" s="439"/>
      <c r="F11" s="439"/>
      <c r="G11" s="439"/>
      <c r="H11" s="439"/>
      <c r="I11" s="439"/>
      <c r="J11" s="439"/>
      <c r="K11" s="439"/>
      <c r="L11" s="439"/>
      <c r="M11" s="439"/>
      <c r="N11" s="439"/>
      <c r="O11" s="439"/>
      <c r="P11" s="406">
        <v>61.132660819736955</v>
      </c>
      <c r="Q11" s="406">
        <v>58.611100553723048</v>
      </c>
      <c r="R11" s="406">
        <v>35.1561198547003</v>
      </c>
      <c r="S11" s="440">
        <f>S10</f>
        <v>-6.2793265895781894E-2</v>
      </c>
      <c r="T11" s="406">
        <f t="shared" si="2"/>
        <v>57.293941393966563</v>
      </c>
      <c r="U11" s="406">
        <f t="shared" si="3"/>
        <v>54.930718132208703</v>
      </c>
      <c r="V11" s="406">
        <f t="shared" si="4"/>
        <v>32.948552272800129</v>
      </c>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0"/>
      <c r="AV11" s="350"/>
      <c r="AW11" s="350"/>
      <c r="AX11" s="350"/>
      <c r="AY11" s="350"/>
      <c r="AZ11" s="350"/>
      <c r="BA11" s="350"/>
      <c r="BB11" s="350"/>
      <c r="BC11" s="350"/>
      <c r="BD11" s="350"/>
      <c r="BE11" s="350"/>
      <c r="BF11" s="350"/>
      <c r="BG11" s="350"/>
      <c r="BH11" s="350"/>
      <c r="BI11" s="350"/>
    </row>
    <row r="12" spans="1:61" ht="30" hidden="1" outlineLevel="1">
      <c r="A12" s="428" t="s">
        <v>243</v>
      </c>
      <c r="B12" s="429"/>
      <c r="C12" s="430"/>
      <c r="D12" s="430"/>
      <c r="E12" s="430"/>
      <c r="F12" s="430"/>
      <c r="G12" s="430"/>
      <c r="H12" s="430"/>
      <c r="I12" s="430"/>
      <c r="J12" s="430"/>
      <c r="K12" s="430"/>
      <c r="L12" s="430"/>
      <c r="M12" s="430"/>
      <c r="N12" s="430"/>
      <c r="O12" s="430"/>
      <c r="P12" s="405">
        <v>1.7431161745204742</v>
      </c>
      <c r="Q12" s="405">
        <v>1.7431161745204742</v>
      </c>
      <c r="R12" s="405">
        <v>1.7431161745204742</v>
      </c>
      <c r="S12" s="431">
        <f>S9</f>
        <v>-0.7393802054160864</v>
      </c>
      <c r="T12" s="405">
        <f t="shared" si="2"/>
        <v>0.45429057933942329</v>
      </c>
      <c r="U12" s="405">
        <f t="shared" si="3"/>
        <v>0.45429057933942329</v>
      </c>
      <c r="V12" s="405">
        <f t="shared" si="4"/>
        <v>0.45429057933942329</v>
      </c>
      <c r="W12" s="350"/>
      <c r="X12" s="350"/>
      <c r="Y12" s="350"/>
      <c r="Z12" s="350"/>
      <c r="AA12" s="350"/>
      <c r="AB12" s="350"/>
      <c r="AC12" s="350"/>
      <c r="AD12" s="350"/>
      <c r="AE12" s="350"/>
      <c r="AF12" s="350"/>
      <c r="AG12" s="350"/>
      <c r="AH12" s="350"/>
      <c r="AI12" s="350"/>
      <c r="AJ12" s="350"/>
      <c r="AK12" s="350"/>
      <c r="AL12" s="350"/>
      <c r="AM12" s="350"/>
      <c r="AN12" s="350"/>
      <c r="AO12" s="350"/>
      <c r="AP12" s="350"/>
      <c r="AQ12" s="350"/>
      <c r="AR12" s="350"/>
      <c r="AS12" s="350"/>
      <c r="AT12" s="350"/>
      <c r="AU12" s="350"/>
      <c r="AV12" s="350"/>
      <c r="AW12" s="350"/>
      <c r="AX12" s="350"/>
      <c r="AY12" s="350"/>
      <c r="AZ12" s="350"/>
      <c r="BA12" s="350"/>
      <c r="BB12" s="350"/>
      <c r="BC12" s="350"/>
      <c r="BD12" s="350"/>
      <c r="BE12" s="350"/>
      <c r="BF12" s="350"/>
      <c r="BG12" s="350"/>
      <c r="BH12" s="350"/>
      <c r="BI12" s="350"/>
    </row>
    <row r="13" spans="1:61" ht="45" hidden="1" outlineLevel="1">
      <c r="A13" s="432" t="s">
        <v>244</v>
      </c>
      <c r="B13" s="433"/>
      <c r="C13" s="434"/>
      <c r="D13" s="434"/>
      <c r="E13" s="434"/>
      <c r="F13" s="434"/>
      <c r="G13" s="434"/>
      <c r="H13" s="434"/>
      <c r="I13" s="434"/>
      <c r="J13" s="434"/>
      <c r="K13" s="434"/>
      <c r="L13" s="434"/>
      <c r="M13" s="434"/>
      <c r="N13" s="434"/>
      <c r="O13" s="434"/>
      <c r="P13" s="435">
        <v>47.132535399851555</v>
      </c>
      <c r="Q13" s="435">
        <v>36.135923355516461</v>
      </c>
      <c r="R13" s="435">
        <v>22.032291411951302</v>
      </c>
      <c r="S13" s="436">
        <f>S10</f>
        <v>-6.2793265895781894E-2</v>
      </c>
      <c r="T13" s="435">
        <f t="shared" si="2"/>
        <v>44.172929572146323</v>
      </c>
      <c r="U13" s="435">
        <f t="shared" si="3"/>
        <v>33.866830711863919</v>
      </c>
      <c r="V13" s="435">
        <f t="shared" si="4"/>
        <v>20.648811879027292</v>
      </c>
      <c r="W13" s="350"/>
      <c r="X13" s="350"/>
      <c r="Y13" s="350"/>
      <c r="Z13" s="350"/>
      <c r="AA13" s="350"/>
      <c r="AB13" s="350"/>
      <c r="AC13" s="350"/>
      <c r="AD13" s="350"/>
      <c r="AE13" s="350"/>
      <c r="AF13" s="350"/>
      <c r="AG13" s="350"/>
      <c r="AH13" s="350"/>
      <c r="AI13" s="350"/>
      <c r="AJ13" s="350"/>
      <c r="AK13" s="350"/>
      <c r="AL13" s="350"/>
      <c r="AM13" s="350"/>
      <c r="AN13" s="350"/>
      <c r="AO13" s="350"/>
      <c r="AP13" s="350"/>
      <c r="AQ13" s="350"/>
      <c r="AR13" s="350"/>
      <c r="AS13" s="350"/>
      <c r="AT13" s="350"/>
      <c r="AU13" s="350"/>
      <c r="AV13" s="350"/>
      <c r="AW13" s="350"/>
      <c r="AX13" s="350"/>
      <c r="AY13" s="350"/>
      <c r="AZ13" s="350"/>
      <c r="BA13" s="350"/>
      <c r="BB13" s="350"/>
      <c r="BC13" s="350"/>
      <c r="BD13" s="350"/>
      <c r="BE13" s="350"/>
      <c r="BF13" s="350"/>
      <c r="BG13" s="350"/>
      <c r="BH13" s="350"/>
      <c r="BI13" s="350"/>
    </row>
    <row r="14" spans="1:61" ht="30" hidden="1" outlineLevel="1">
      <c r="A14" s="437" t="s">
        <v>245</v>
      </c>
      <c r="B14" s="438"/>
      <c r="C14" s="439"/>
      <c r="D14" s="439"/>
      <c r="E14" s="439"/>
      <c r="F14" s="439"/>
      <c r="G14" s="439"/>
      <c r="H14" s="439"/>
      <c r="I14" s="439"/>
      <c r="J14" s="439"/>
      <c r="K14" s="439"/>
      <c r="L14" s="439"/>
      <c r="M14" s="439"/>
      <c r="N14" s="439"/>
      <c r="O14" s="439"/>
      <c r="P14" s="406">
        <v>65.251224156765275</v>
      </c>
      <c r="Q14" s="406">
        <v>61.622342182134695</v>
      </c>
      <c r="R14" s="406">
        <v>37.187598186648174</v>
      </c>
      <c r="S14" s="440">
        <f>S11</f>
        <v>-6.2793265895781894E-2</v>
      </c>
      <c r="T14" s="406">
        <f t="shared" si="2"/>
        <v>61.153886688264244</v>
      </c>
      <c r="U14" s="406">
        <f t="shared" si="3"/>
        <v>57.752874064371049</v>
      </c>
      <c r="V14" s="406">
        <f t="shared" si="4"/>
        <v>34.852467445688475</v>
      </c>
      <c r="W14" s="350"/>
      <c r="X14" s="350"/>
      <c r="Y14" s="350"/>
      <c r="Z14" s="350"/>
      <c r="AA14" s="350"/>
      <c r="AB14" s="350"/>
      <c r="AC14" s="350"/>
      <c r="AD14" s="350"/>
      <c r="AE14" s="350"/>
      <c r="AF14" s="350"/>
      <c r="AG14" s="350"/>
      <c r="AH14" s="350"/>
      <c r="AI14" s="350"/>
      <c r="AJ14" s="350"/>
      <c r="AK14" s="350"/>
      <c r="AL14" s="350"/>
      <c r="AM14" s="350"/>
      <c r="AN14" s="350"/>
      <c r="AO14" s="350"/>
      <c r="AP14" s="350"/>
      <c r="AQ14" s="350"/>
      <c r="AR14" s="350"/>
      <c r="AS14" s="350"/>
      <c r="AT14" s="350"/>
      <c r="AU14" s="350"/>
      <c r="AV14" s="350"/>
      <c r="AW14" s="350"/>
      <c r="AX14" s="350"/>
      <c r="AY14" s="350"/>
      <c r="AZ14" s="350"/>
      <c r="BA14" s="350"/>
      <c r="BB14" s="350"/>
      <c r="BC14" s="350"/>
      <c r="BD14" s="350"/>
      <c r="BE14" s="350"/>
      <c r="BF14" s="350"/>
      <c r="BG14" s="350"/>
      <c r="BH14" s="350"/>
      <c r="BI14" s="350"/>
    </row>
    <row r="15" spans="1:61" hidden="1" outlineLevel="1">
      <c r="A15" s="388" t="s">
        <v>212</v>
      </c>
      <c r="B15" s="388"/>
      <c r="C15" s="388"/>
      <c r="D15" s="388"/>
      <c r="E15" s="388"/>
      <c r="F15" s="388"/>
      <c r="G15" s="388"/>
      <c r="H15" s="388"/>
      <c r="I15" s="388"/>
      <c r="J15" s="388"/>
      <c r="K15" s="388"/>
      <c r="L15" s="388"/>
      <c r="M15" s="388"/>
      <c r="N15" s="388"/>
      <c r="O15" s="388"/>
      <c r="P15" s="399"/>
      <c r="Q15" s="399"/>
      <c r="R15" s="399"/>
      <c r="S15" s="399"/>
      <c r="T15" s="399"/>
      <c r="U15" s="399"/>
      <c r="V15" s="399"/>
      <c r="W15" s="350"/>
      <c r="X15" s="350"/>
      <c r="Y15" s="350"/>
      <c r="Z15" s="350"/>
      <c r="AA15" s="350"/>
      <c r="AB15" s="350"/>
      <c r="AC15" s="350"/>
      <c r="AD15" s="350"/>
      <c r="AE15" s="350"/>
      <c r="AF15" s="350"/>
      <c r="AG15" s="350"/>
      <c r="AH15" s="350"/>
      <c r="AI15" s="350"/>
      <c r="AJ15" s="350"/>
      <c r="AK15" s="350"/>
      <c r="AL15" s="350"/>
      <c r="AM15" s="350"/>
      <c r="AN15" s="350"/>
      <c r="AO15" s="350"/>
      <c r="AP15" s="350"/>
      <c r="AQ15" s="350"/>
      <c r="AR15" s="350"/>
      <c r="AS15" s="350"/>
      <c r="AT15" s="350"/>
      <c r="AU15" s="350"/>
      <c r="AV15" s="350"/>
      <c r="AW15" s="350"/>
      <c r="AX15" s="350"/>
      <c r="AY15" s="350"/>
      <c r="AZ15" s="350"/>
      <c r="BA15" s="350"/>
      <c r="BB15" s="350"/>
      <c r="BC15" s="350"/>
      <c r="BD15" s="350"/>
      <c r="BE15" s="350"/>
      <c r="BF15" s="350"/>
      <c r="BG15" s="350"/>
      <c r="BH15" s="350"/>
      <c r="BI15" s="350"/>
    </row>
    <row r="16" spans="1:61" ht="45" hidden="1" outlineLevel="1">
      <c r="A16" s="428" t="s">
        <v>853</v>
      </c>
      <c r="B16" s="429"/>
      <c r="C16" s="430"/>
      <c r="D16" s="430"/>
      <c r="E16" s="430"/>
      <c r="F16" s="430"/>
      <c r="G16" s="430"/>
      <c r="H16" s="430"/>
      <c r="I16" s="430"/>
      <c r="J16" s="430"/>
      <c r="K16" s="430"/>
      <c r="L16" s="430"/>
      <c r="M16" s="430"/>
      <c r="N16" s="430"/>
      <c r="O16" s="430"/>
      <c r="P16" s="405">
        <v>2</v>
      </c>
      <c r="Q16" s="405">
        <v>2</v>
      </c>
      <c r="R16" s="405">
        <v>2</v>
      </c>
      <c r="S16" s="431">
        <f>R39</f>
        <v>-0.73193131907737019</v>
      </c>
      <c r="T16" s="405">
        <f t="shared" ref="T16:T27" si="5">IFERROR(P16*(100%+$S16),"brak")</f>
        <v>0.53613736184525962</v>
      </c>
      <c r="U16" s="405">
        <f t="shared" ref="U16:U27" si="6">IFERROR(Q16*(100%+$S16),"brak")</f>
        <v>0.53613736184525962</v>
      </c>
      <c r="V16" s="405">
        <f t="shared" ref="V16:V27" si="7">IFERROR(R16*(100%+$S16),"brak")</f>
        <v>0.53613736184525962</v>
      </c>
      <c r="W16" s="350"/>
      <c r="X16" s="350"/>
      <c r="Y16" s="350"/>
      <c r="Z16" s="350"/>
      <c r="AA16" s="350"/>
      <c r="AB16" s="350"/>
      <c r="AC16" s="350"/>
      <c r="AD16" s="350"/>
      <c r="AE16" s="350"/>
      <c r="AF16" s="350"/>
      <c r="AG16" s="350"/>
      <c r="AH16" s="350"/>
      <c r="AI16" s="350"/>
      <c r="AJ16" s="350"/>
      <c r="AK16" s="350"/>
      <c r="AL16" s="350"/>
      <c r="AM16" s="350"/>
      <c r="AN16" s="350"/>
      <c r="AO16" s="350"/>
      <c r="AP16" s="350"/>
      <c r="AQ16" s="350"/>
      <c r="AR16" s="350"/>
      <c r="AS16" s="350"/>
      <c r="AT16" s="350"/>
      <c r="AU16" s="350"/>
      <c r="AV16" s="350"/>
      <c r="AW16" s="350"/>
      <c r="AX16" s="350"/>
      <c r="AY16" s="350"/>
      <c r="AZ16" s="350"/>
      <c r="BA16" s="350"/>
      <c r="BB16" s="350"/>
      <c r="BC16" s="350"/>
      <c r="BD16" s="350"/>
      <c r="BE16" s="350"/>
      <c r="BF16" s="350"/>
      <c r="BG16" s="350"/>
      <c r="BH16" s="350"/>
      <c r="BI16" s="350"/>
    </row>
    <row r="17" spans="1:61" ht="60" hidden="1" outlineLevel="1">
      <c r="A17" s="432" t="s">
        <v>854</v>
      </c>
      <c r="B17" s="433"/>
      <c r="C17" s="434"/>
      <c r="D17" s="434"/>
      <c r="E17" s="434"/>
      <c r="F17" s="434"/>
      <c r="G17" s="434"/>
      <c r="H17" s="434"/>
      <c r="I17" s="434"/>
      <c r="J17" s="434"/>
      <c r="K17" s="434"/>
      <c r="L17" s="434"/>
      <c r="M17" s="434"/>
      <c r="N17" s="434"/>
      <c r="O17" s="434"/>
      <c r="P17" s="435">
        <v>178.19147419034968</v>
      </c>
      <c r="Q17" s="435">
        <v>154.6010402516356</v>
      </c>
      <c r="R17" s="435">
        <v>91.944866377890378</v>
      </c>
      <c r="S17" s="436">
        <f>R40</f>
        <v>8.7336953817690577E-2</v>
      </c>
      <c r="T17" s="435">
        <f t="shared" si="5"/>
        <v>193.75417474241848</v>
      </c>
      <c r="U17" s="435">
        <f t="shared" si="6"/>
        <v>168.10342416425962</v>
      </c>
      <c r="V17" s="435">
        <f t="shared" si="7"/>
        <v>99.975050926509937</v>
      </c>
      <c r="W17" s="350"/>
      <c r="X17" s="350"/>
      <c r="Y17" s="350"/>
      <c r="Z17" s="350"/>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0"/>
      <c r="AX17" s="350"/>
      <c r="AY17" s="350"/>
      <c r="AZ17" s="350"/>
      <c r="BA17" s="350"/>
      <c r="BB17" s="350"/>
      <c r="BC17" s="350"/>
      <c r="BD17" s="350"/>
      <c r="BE17" s="350"/>
      <c r="BF17" s="350"/>
      <c r="BG17" s="350"/>
      <c r="BH17" s="350"/>
      <c r="BI17" s="350"/>
    </row>
    <row r="18" spans="1:61" ht="45" hidden="1" outlineLevel="1">
      <c r="A18" s="437" t="s">
        <v>855</v>
      </c>
      <c r="B18" s="438"/>
      <c r="C18" s="439"/>
      <c r="D18" s="439"/>
      <c r="E18" s="439"/>
      <c r="F18" s="439"/>
      <c r="G18" s="439"/>
      <c r="H18" s="439"/>
      <c r="I18" s="439"/>
      <c r="J18" s="439"/>
      <c r="K18" s="439"/>
      <c r="L18" s="439"/>
      <c r="M18" s="439"/>
      <c r="N18" s="439"/>
      <c r="O18" s="439"/>
      <c r="P18" s="406">
        <v>390.45623033646683</v>
      </c>
      <c r="Q18" s="406">
        <v>318.9700668858182</v>
      </c>
      <c r="R18" s="406">
        <v>188.66477082289882</v>
      </c>
      <c r="S18" s="440">
        <f>S17</f>
        <v>8.7336953817690577E-2</v>
      </c>
      <c r="T18" s="406">
        <f t="shared" si="5"/>
        <v>424.55748809319243</v>
      </c>
      <c r="U18" s="406">
        <f t="shared" si="6"/>
        <v>346.82794088665059</v>
      </c>
      <c r="V18" s="406">
        <f t="shared" si="7"/>
        <v>205.14217719928354</v>
      </c>
      <c r="W18" s="350"/>
      <c r="X18" s="350"/>
      <c r="Y18" s="350"/>
      <c r="Z18" s="350"/>
      <c r="AA18" s="350"/>
      <c r="AB18" s="350"/>
      <c r="AC18" s="350"/>
      <c r="AD18" s="350"/>
      <c r="AE18" s="350"/>
      <c r="AF18" s="350"/>
      <c r="AG18" s="350"/>
      <c r="AH18" s="350"/>
      <c r="AI18" s="350"/>
      <c r="AJ18" s="350"/>
      <c r="AK18" s="350"/>
      <c r="AL18" s="350"/>
      <c r="AM18" s="350"/>
      <c r="AN18" s="350"/>
      <c r="AO18" s="350"/>
      <c r="AP18" s="350"/>
      <c r="AQ18" s="350"/>
      <c r="AR18" s="350"/>
      <c r="AS18" s="350"/>
      <c r="AT18" s="350"/>
      <c r="AU18" s="350"/>
      <c r="AV18" s="350"/>
      <c r="AW18" s="350"/>
      <c r="AX18" s="350"/>
      <c r="AY18" s="350"/>
      <c r="AZ18" s="350"/>
      <c r="BA18" s="350"/>
      <c r="BB18" s="350"/>
      <c r="BC18" s="350"/>
      <c r="BD18" s="350"/>
      <c r="BE18" s="350"/>
      <c r="BF18" s="350"/>
      <c r="BG18" s="350"/>
      <c r="BH18" s="350"/>
      <c r="BI18" s="350"/>
    </row>
    <row r="19" spans="1:61" ht="45" hidden="1" outlineLevel="1">
      <c r="A19" s="428" t="s">
        <v>856</v>
      </c>
      <c r="B19" s="429"/>
      <c r="C19" s="430"/>
      <c r="D19" s="430"/>
      <c r="E19" s="430"/>
      <c r="F19" s="430"/>
      <c r="G19" s="430"/>
      <c r="H19" s="430"/>
      <c r="I19" s="430"/>
      <c r="J19" s="430"/>
      <c r="K19" s="430"/>
      <c r="L19" s="430"/>
      <c r="M19" s="430"/>
      <c r="N19" s="430"/>
      <c r="O19" s="430"/>
      <c r="P19" s="405">
        <v>3</v>
      </c>
      <c r="Q19" s="405">
        <v>3</v>
      </c>
      <c r="R19" s="405">
        <v>3</v>
      </c>
      <c r="S19" s="431">
        <f>S16</f>
        <v>-0.73193131907737019</v>
      </c>
      <c r="T19" s="405">
        <f t="shared" si="5"/>
        <v>0.80420604276788943</v>
      </c>
      <c r="U19" s="405">
        <f t="shared" si="6"/>
        <v>0.80420604276788943</v>
      </c>
      <c r="V19" s="405">
        <f t="shared" si="7"/>
        <v>0.80420604276788943</v>
      </c>
      <c r="W19" s="350"/>
      <c r="X19" s="350"/>
      <c r="Y19" s="350"/>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c r="AY19" s="350"/>
      <c r="AZ19" s="350"/>
      <c r="BA19" s="350"/>
      <c r="BB19" s="350"/>
      <c r="BC19" s="350"/>
      <c r="BD19" s="350"/>
      <c r="BE19" s="350"/>
      <c r="BF19" s="350"/>
      <c r="BG19" s="350"/>
      <c r="BH19" s="350"/>
      <c r="BI19" s="350"/>
    </row>
    <row r="20" spans="1:61" ht="60" hidden="1" outlineLevel="1">
      <c r="A20" s="432" t="s">
        <v>857</v>
      </c>
      <c r="B20" s="433"/>
      <c r="C20" s="434"/>
      <c r="D20" s="434"/>
      <c r="E20" s="434"/>
      <c r="F20" s="434"/>
      <c r="G20" s="434"/>
      <c r="H20" s="434"/>
      <c r="I20" s="434"/>
      <c r="J20" s="434"/>
      <c r="K20" s="434"/>
      <c r="L20" s="434"/>
      <c r="M20" s="434"/>
      <c r="N20" s="434"/>
      <c r="O20" s="434"/>
      <c r="P20" s="435">
        <v>178.60432441358864</v>
      </c>
      <c r="Q20" s="435">
        <v>155.01389047487456</v>
      </c>
      <c r="R20" s="435">
        <v>92.357716601129354</v>
      </c>
      <c r="S20" s="436">
        <f t="shared" ref="S20:S21" si="8">S17</f>
        <v>8.7336953817690577E-2</v>
      </c>
      <c r="T20" s="435">
        <f t="shared" si="5"/>
        <v>194.20308204653807</v>
      </c>
      <c r="U20" s="435">
        <f t="shared" si="6"/>
        <v>168.55233146837924</v>
      </c>
      <c r="V20" s="435">
        <f t="shared" si="7"/>
        <v>100.42395823062955</v>
      </c>
      <c r="W20" s="350"/>
      <c r="X20" s="350"/>
      <c r="Y20" s="350"/>
      <c r="Z20" s="350"/>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c r="AY20" s="350"/>
      <c r="AZ20" s="350"/>
      <c r="BA20" s="350"/>
      <c r="BB20" s="350"/>
      <c r="BC20" s="350"/>
      <c r="BD20" s="350"/>
      <c r="BE20" s="350"/>
      <c r="BF20" s="350"/>
      <c r="BG20" s="350"/>
      <c r="BH20" s="350"/>
      <c r="BI20" s="350"/>
    </row>
    <row r="21" spans="1:61" ht="45" hidden="1" outlineLevel="1">
      <c r="A21" s="437" t="s">
        <v>858</v>
      </c>
      <c r="B21" s="438"/>
      <c r="C21" s="439"/>
      <c r="D21" s="439"/>
      <c r="E21" s="439"/>
      <c r="F21" s="439"/>
      <c r="G21" s="439"/>
      <c r="H21" s="439"/>
      <c r="I21" s="439"/>
      <c r="J21" s="439"/>
      <c r="K21" s="439"/>
      <c r="L21" s="439"/>
      <c r="M21" s="439"/>
      <c r="N21" s="439"/>
      <c r="O21" s="439"/>
      <c r="P21" s="406">
        <v>390.86908055970582</v>
      </c>
      <c r="Q21" s="406">
        <v>319.38291710905719</v>
      </c>
      <c r="R21" s="406">
        <v>189.07762104613778</v>
      </c>
      <c r="S21" s="440">
        <f t="shared" si="8"/>
        <v>8.7336953817690577E-2</v>
      </c>
      <c r="T21" s="406">
        <f t="shared" si="5"/>
        <v>425.00639539731208</v>
      </c>
      <c r="U21" s="406">
        <f t="shared" si="6"/>
        <v>347.27684819077024</v>
      </c>
      <c r="V21" s="406">
        <f t="shared" si="7"/>
        <v>205.59108450340312</v>
      </c>
      <c r="W21" s="350"/>
      <c r="X21" s="350"/>
      <c r="Y21" s="350"/>
      <c r="Z21" s="350"/>
      <c r="AA21" s="350"/>
      <c r="AB21" s="350"/>
      <c r="AC21" s="350"/>
      <c r="AD21" s="350"/>
      <c r="AE21" s="350"/>
      <c r="AF21" s="350"/>
      <c r="AG21" s="350"/>
      <c r="AH21" s="350"/>
      <c r="AI21" s="350"/>
      <c r="AJ21" s="350"/>
      <c r="AK21" s="350"/>
      <c r="AL21" s="350"/>
      <c r="AM21" s="350"/>
      <c r="AN21" s="350"/>
      <c r="AO21" s="350"/>
      <c r="AP21" s="350"/>
      <c r="AQ21" s="350"/>
      <c r="AR21" s="350"/>
      <c r="AS21" s="350"/>
      <c r="AT21" s="350"/>
      <c r="AU21" s="350"/>
      <c r="AV21" s="350"/>
      <c r="AW21" s="350"/>
      <c r="AX21" s="350"/>
      <c r="AY21" s="350"/>
      <c r="AZ21" s="350"/>
      <c r="BA21" s="350"/>
      <c r="BB21" s="350"/>
      <c r="BC21" s="350"/>
      <c r="BD21" s="350"/>
      <c r="BE21" s="350"/>
      <c r="BF21" s="350"/>
      <c r="BG21" s="350"/>
      <c r="BH21" s="350"/>
      <c r="BI21" s="350"/>
    </row>
    <row r="22" spans="1:61" ht="45" hidden="1" outlineLevel="1">
      <c r="A22" s="428" t="s">
        <v>859</v>
      </c>
      <c r="B22" s="429"/>
      <c r="C22" s="430"/>
      <c r="D22" s="430"/>
      <c r="E22" s="430"/>
      <c r="F22" s="430"/>
      <c r="G22" s="430"/>
      <c r="H22" s="430"/>
      <c r="I22" s="430"/>
      <c r="J22" s="430"/>
      <c r="K22" s="430"/>
      <c r="L22" s="430"/>
      <c r="M22" s="430"/>
      <c r="N22" s="430"/>
      <c r="O22" s="430"/>
      <c r="P22" s="405">
        <v>5.6000000000000005</v>
      </c>
      <c r="Q22" s="405">
        <v>5.6000000000000005</v>
      </c>
      <c r="R22" s="405">
        <v>5.6000000000000005</v>
      </c>
      <c r="S22" s="431">
        <f>S16</f>
        <v>-0.73193131907737019</v>
      </c>
      <c r="T22" s="405">
        <f t="shared" si="5"/>
        <v>1.501184613166727</v>
      </c>
      <c r="U22" s="405">
        <f t="shared" si="6"/>
        <v>1.501184613166727</v>
      </c>
      <c r="V22" s="405">
        <f t="shared" si="7"/>
        <v>1.501184613166727</v>
      </c>
      <c r="W22" s="350"/>
      <c r="X22" s="350"/>
      <c r="Y22" s="350"/>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50"/>
      <c r="AZ22" s="350"/>
      <c r="BA22" s="350"/>
      <c r="BB22" s="350"/>
      <c r="BC22" s="350"/>
      <c r="BD22" s="350"/>
      <c r="BE22" s="350"/>
      <c r="BF22" s="350"/>
      <c r="BG22" s="350"/>
      <c r="BH22" s="350"/>
      <c r="BI22" s="350"/>
    </row>
    <row r="23" spans="1:61" ht="60" hidden="1" outlineLevel="1">
      <c r="A23" s="432" t="s">
        <v>860</v>
      </c>
      <c r="B23" s="433"/>
      <c r="C23" s="434"/>
      <c r="D23" s="434"/>
      <c r="E23" s="434"/>
      <c r="F23" s="434"/>
      <c r="G23" s="434"/>
      <c r="H23" s="434"/>
      <c r="I23" s="434"/>
      <c r="J23" s="434"/>
      <c r="K23" s="434"/>
      <c r="L23" s="434"/>
      <c r="M23" s="434"/>
      <c r="N23" s="434"/>
      <c r="O23" s="434"/>
      <c r="P23" s="435">
        <v>179.67773499401</v>
      </c>
      <c r="Q23" s="435">
        <v>156.08730105529591</v>
      </c>
      <c r="R23" s="435">
        <v>93.431127181550693</v>
      </c>
      <c r="S23" s="436">
        <f t="shared" ref="S23:S24" si="9">S17</f>
        <v>8.7336953817690577E-2</v>
      </c>
      <c r="T23" s="435">
        <f t="shared" si="5"/>
        <v>195.37024103724912</v>
      </c>
      <c r="U23" s="435">
        <f t="shared" si="6"/>
        <v>169.71949045909028</v>
      </c>
      <c r="V23" s="435">
        <f t="shared" si="7"/>
        <v>101.59111722134057</v>
      </c>
      <c r="W23" s="350"/>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c r="AV23" s="350"/>
      <c r="AW23" s="350"/>
      <c r="AX23" s="350"/>
      <c r="AY23" s="350"/>
      <c r="AZ23" s="350"/>
      <c r="BA23" s="350"/>
      <c r="BB23" s="350"/>
      <c r="BC23" s="350"/>
      <c r="BD23" s="350"/>
      <c r="BE23" s="350"/>
      <c r="BF23" s="350"/>
      <c r="BG23" s="350"/>
      <c r="BH23" s="350"/>
      <c r="BI23" s="350"/>
    </row>
    <row r="24" spans="1:61" ht="45" hidden="1" outlineLevel="1">
      <c r="A24" s="437" t="s">
        <v>861</v>
      </c>
      <c r="B24" s="438"/>
      <c r="C24" s="439"/>
      <c r="D24" s="439"/>
      <c r="E24" s="439"/>
      <c r="F24" s="439"/>
      <c r="G24" s="439"/>
      <c r="H24" s="439"/>
      <c r="I24" s="439"/>
      <c r="J24" s="439"/>
      <c r="K24" s="439"/>
      <c r="L24" s="439"/>
      <c r="M24" s="439"/>
      <c r="N24" s="439"/>
      <c r="O24" s="439"/>
      <c r="P24" s="406">
        <v>391.94249114012717</v>
      </c>
      <c r="Q24" s="406">
        <v>320.45632768947854</v>
      </c>
      <c r="R24" s="406">
        <v>190.15103162655913</v>
      </c>
      <c r="S24" s="440">
        <f t="shared" si="9"/>
        <v>8.7336953817690577E-2</v>
      </c>
      <c r="T24" s="406">
        <f t="shared" si="5"/>
        <v>426.17355438802309</v>
      </c>
      <c r="U24" s="406">
        <f t="shared" si="6"/>
        <v>348.44400718148131</v>
      </c>
      <c r="V24" s="406">
        <f t="shared" si="7"/>
        <v>206.75824349411417</v>
      </c>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c r="AY24" s="350"/>
      <c r="AZ24" s="350"/>
      <c r="BA24" s="350"/>
      <c r="BB24" s="350"/>
      <c r="BC24" s="350"/>
      <c r="BD24" s="350"/>
      <c r="BE24" s="350"/>
      <c r="BF24" s="350"/>
      <c r="BG24" s="350"/>
      <c r="BH24" s="350"/>
      <c r="BI24" s="350"/>
    </row>
    <row r="25" spans="1:61" ht="45" hidden="1" outlineLevel="1">
      <c r="A25" s="428" t="s">
        <v>862</v>
      </c>
      <c r="B25" s="429"/>
      <c r="C25" s="430"/>
      <c r="D25" s="430"/>
      <c r="E25" s="430"/>
      <c r="F25" s="430"/>
      <c r="G25" s="430"/>
      <c r="H25" s="430"/>
      <c r="I25" s="430"/>
      <c r="J25" s="430"/>
      <c r="K25" s="430"/>
      <c r="L25" s="430"/>
      <c r="M25" s="430"/>
      <c r="N25" s="430"/>
      <c r="O25" s="430"/>
      <c r="P25" s="405">
        <v>6.4</v>
      </c>
      <c r="Q25" s="405">
        <v>6.4</v>
      </c>
      <c r="R25" s="405">
        <v>6.4</v>
      </c>
      <c r="S25" s="431">
        <f>S16</f>
        <v>-0.73193131907737019</v>
      </c>
      <c r="T25" s="405">
        <f t="shared" si="5"/>
        <v>1.7156395579048309</v>
      </c>
      <c r="U25" s="405">
        <f t="shared" si="6"/>
        <v>1.7156395579048309</v>
      </c>
      <c r="V25" s="405">
        <f t="shared" si="7"/>
        <v>1.7156395579048309</v>
      </c>
      <c r="W25" s="350"/>
      <c r="X25" s="350"/>
      <c r="Y25" s="350"/>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c r="AV25" s="350"/>
      <c r="AW25" s="350"/>
      <c r="AX25" s="350"/>
      <c r="AY25" s="350"/>
      <c r="AZ25" s="350"/>
      <c r="BA25" s="350"/>
      <c r="BB25" s="350"/>
      <c r="BC25" s="350"/>
      <c r="BD25" s="350"/>
      <c r="BE25" s="350"/>
      <c r="BF25" s="350"/>
      <c r="BG25" s="350"/>
      <c r="BH25" s="350"/>
      <c r="BI25" s="350"/>
    </row>
    <row r="26" spans="1:61" ht="60" hidden="1" outlineLevel="1">
      <c r="A26" s="432" t="s">
        <v>863</v>
      </c>
      <c r="B26" s="433"/>
      <c r="C26" s="434"/>
      <c r="D26" s="434"/>
      <c r="E26" s="434"/>
      <c r="F26" s="434"/>
      <c r="G26" s="434"/>
      <c r="H26" s="434"/>
      <c r="I26" s="434"/>
      <c r="J26" s="434"/>
      <c r="K26" s="434"/>
      <c r="L26" s="434"/>
      <c r="M26" s="434"/>
      <c r="N26" s="434"/>
      <c r="O26" s="434"/>
      <c r="P26" s="435">
        <v>180.00801517260118</v>
      </c>
      <c r="Q26" s="435">
        <v>156.41758123388709</v>
      </c>
      <c r="R26" s="435">
        <v>93.761407360141874</v>
      </c>
      <c r="S26" s="436">
        <f t="shared" ref="S26:S27" si="10">S17</f>
        <v>8.7336953817690577E-2</v>
      </c>
      <c r="T26" s="435">
        <f t="shared" si="5"/>
        <v>195.7293668805448</v>
      </c>
      <c r="U26" s="435">
        <f t="shared" si="6"/>
        <v>170.07861630238597</v>
      </c>
      <c r="V26" s="435">
        <f t="shared" si="7"/>
        <v>101.95024306463627</v>
      </c>
      <c r="W26" s="350"/>
      <c r="X26" s="350"/>
      <c r="Y26" s="350"/>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c r="AV26" s="350"/>
      <c r="AW26" s="350"/>
      <c r="AX26" s="350"/>
      <c r="AY26" s="350"/>
      <c r="AZ26" s="350"/>
      <c r="BA26" s="350"/>
      <c r="BB26" s="350"/>
      <c r="BC26" s="350"/>
      <c r="BD26" s="350"/>
      <c r="BE26" s="350"/>
      <c r="BF26" s="350"/>
      <c r="BG26" s="350"/>
      <c r="BH26" s="350"/>
      <c r="BI26" s="350"/>
    </row>
    <row r="27" spans="1:61" ht="45" hidden="1" outlineLevel="1">
      <c r="A27" s="437" t="s">
        <v>864</v>
      </c>
      <c r="B27" s="438"/>
      <c r="C27" s="439"/>
      <c r="D27" s="439"/>
      <c r="E27" s="439"/>
      <c r="F27" s="439"/>
      <c r="G27" s="439"/>
      <c r="H27" s="439"/>
      <c r="I27" s="439"/>
      <c r="J27" s="439"/>
      <c r="K27" s="439"/>
      <c r="L27" s="439"/>
      <c r="M27" s="439"/>
      <c r="N27" s="439"/>
      <c r="O27" s="439"/>
      <c r="P27" s="406">
        <v>392.27277131871836</v>
      </c>
      <c r="Q27" s="406">
        <v>320.78660786806972</v>
      </c>
      <c r="R27" s="406">
        <v>190.48131180515031</v>
      </c>
      <c r="S27" s="440">
        <f t="shared" si="10"/>
        <v>8.7336953817690577E-2</v>
      </c>
      <c r="T27" s="406">
        <f t="shared" si="5"/>
        <v>426.53268023131881</v>
      </c>
      <c r="U27" s="406">
        <f t="shared" si="6"/>
        <v>348.80313302477697</v>
      </c>
      <c r="V27" s="406">
        <f t="shared" si="7"/>
        <v>207.11736933740985</v>
      </c>
      <c r="W27" s="350"/>
      <c r="X27" s="350"/>
      <c r="Y27" s="350"/>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c r="AV27" s="350"/>
      <c r="AW27" s="350"/>
      <c r="AX27" s="350"/>
      <c r="AY27" s="350"/>
      <c r="AZ27" s="350"/>
      <c r="BA27" s="350"/>
      <c r="BB27" s="350"/>
      <c r="BC27" s="350"/>
      <c r="BD27" s="350"/>
      <c r="BE27" s="350"/>
      <c r="BF27" s="350"/>
      <c r="BG27" s="350"/>
      <c r="BH27" s="350"/>
      <c r="BI27" s="350"/>
    </row>
    <row r="28" spans="1:61" hidden="1" outlineLevel="1">
      <c r="A28" s="35" t="s">
        <v>61</v>
      </c>
      <c r="B28" s="350"/>
      <c r="C28" s="350"/>
      <c r="D28" s="350"/>
      <c r="E28" s="350"/>
      <c r="F28" s="350"/>
      <c r="G28" s="350"/>
      <c r="H28" s="350"/>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0"/>
      <c r="AN28" s="350"/>
      <c r="AO28" s="350"/>
      <c r="AP28" s="350"/>
      <c r="AQ28" s="350"/>
      <c r="AR28" s="350"/>
      <c r="AS28" s="350"/>
      <c r="AT28" s="350"/>
      <c r="AU28" s="350"/>
      <c r="AV28" s="350"/>
      <c r="AW28" s="350"/>
      <c r="AX28" s="350"/>
      <c r="AY28" s="350"/>
      <c r="AZ28" s="350"/>
      <c r="BA28" s="350"/>
      <c r="BB28" s="350"/>
      <c r="BC28" s="350"/>
      <c r="BD28" s="350"/>
      <c r="BE28" s="350"/>
      <c r="BF28" s="350"/>
      <c r="BG28" s="350"/>
      <c r="BH28" s="350"/>
      <c r="BI28" s="350"/>
    </row>
    <row r="29" spans="1:61" hidden="1" outlineLevel="1">
      <c r="A29" s="228" t="s">
        <v>381</v>
      </c>
      <c r="B29" s="350"/>
      <c r="C29" s="350"/>
      <c r="D29" s="350"/>
      <c r="E29" s="350"/>
      <c r="F29" s="350"/>
      <c r="G29" s="350"/>
      <c r="H29" s="350"/>
      <c r="I29" s="350"/>
      <c r="J29" s="350"/>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0"/>
      <c r="AL29" s="350"/>
      <c r="AM29" s="350"/>
      <c r="AN29" s="350"/>
      <c r="AO29" s="350"/>
      <c r="AP29" s="350"/>
      <c r="AQ29" s="350"/>
      <c r="AR29" s="350"/>
      <c r="AS29" s="350"/>
      <c r="AT29" s="350"/>
      <c r="AU29" s="350"/>
      <c r="AV29" s="350"/>
      <c r="AW29" s="350"/>
      <c r="AX29" s="350"/>
      <c r="AY29" s="350"/>
      <c r="AZ29" s="350"/>
      <c r="BA29" s="350"/>
      <c r="BB29" s="350"/>
      <c r="BC29" s="350"/>
      <c r="BD29" s="350"/>
      <c r="BE29" s="350"/>
      <c r="BF29" s="350"/>
      <c r="BG29" s="350"/>
      <c r="BH29" s="350"/>
      <c r="BI29" s="350"/>
    </row>
    <row r="30" spans="1:61" hidden="1" outlineLevel="1">
      <c r="A30" s="754" t="s">
        <v>715</v>
      </c>
      <c r="B30" s="754"/>
      <c r="C30" s="754"/>
      <c r="D30" s="754"/>
      <c r="E30" s="754"/>
      <c r="F30" s="754"/>
      <c r="G30" s="754"/>
      <c r="H30" s="754"/>
      <c r="I30" s="754"/>
      <c r="J30" s="754"/>
      <c r="K30" s="754"/>
      <c r="L30" s="754"/>
      <c r="M30" s="754"/>
      <c r="N30" s="754"/>
      <c r="O30" s="754"/>
      <c r="P30" s="754"/>
      <c r="Q30" s="754"/>
      <c r="R30" s="754"/>
      <c r="S30" s="754"/>
      <c r="T30" s="754"/>
      <c r="U30" s="754"/>
      <c r="V30" s="754"/>
      <c r="W30" s="350"/>
      <c r="X30" s="350"/>
      <c r="Y30" s="350"/>
      <c r="Z30" s="350"/>
      <c r="AA30" s="350"/>
      <c r="AB30" s="350"/>
      <c r="AC30" s="350"/>
      <c r="AD30" s="350"/>
      <c r="AE30" s="350"/>
      <c r="AF30" s="350"/>
      <c r="AG30" s="350"/>
      <c r="AH30" s="350"/>
      <c r="AI30" s="350"/>
      <c r="AJ30" s="350"/>
      <c r="AK30" s="350"/>
      <c r="AL30" s="350"/>
      <c r="AM30" s="350"/>
      <c r="AN30" s="350"/>
      <c r="AO30" s="350"/>
      <c r="AP30" s="350"/>
      <c r="AQ30" s="350"/>
      <c r="AR30" s="350"/>
      <c r="AS30" s="350"/>
      <c r="AT30" s="350"/>
      <c r="AU30" s="350"/>
      <c r="AV30" s="350"/>
      <c r="AW30" s="350"/>
      <c r="AX30" s="350"/>
      <c r="AY30" s="350"/>
      <c r="AZ30" s="350"/>
      <c r="BA30" s="350"/>
      <c r="BB30" s="350"/>
      <c r="BC30" s="350"/>
      <c r="BD30" s="350"/>
      <c r="BE30" s="350"/>
      <c r="BF30" s="350"/>
      <c r="BG30" s="350"/>
      <c r="BH30" s="350"/>
      <c r="BI30" s="350"/>
    </row>
    <row r="31" spans="1:61" s="672" customFormat="1" hidden="1" outlineLevel="1">
      <c r="A31" s="754"/>
      <c r="B31" s="754"/>
      <c r="C31" s="754"/>
      <c r="D31" s="754"/>
      <c r="E31" s="754"/>
      <c r="F31" s="754"/>
      <c r="G31" s="754"/>
      <c r="H31" s="754"/>
      <c r="I31" s="754"/>
      <c r="J31" s="754"/>
      <c r="K31" s="754"/>
      <c r="L31" s="754"/>
      <c r="M31" s="754"/>
      <c r="N31" s="754"/>
      <c r="O31" s="754"/>
      <c r="P31" s="754"/>
      <c r="Q31" s="754"/>
      <c r="R31" s="754"/>
      <c r="S31" s="754"/>
      <c r="T31" s="754"/>
      <c r="U31" s="754"/>
      <c r="V31" s="754"/>
    </row>
    <row r="32" spans="1:61" hidden="1" outlineLevel="1">
      <c r="A32" s="350"/>
      <c r="B32" s="350"/>
      <c r="C32" s="350"/>
      <c r="D32" s="350"/>
      <c r="E32" s="350"/>
      <c r="F32" s="350"/>
      <c r="G32" s="350"/>
      <c r="H32" s="350"/>
      <c r="I32" s="350"/>
      <c r="J32" s="350"/>
      <c r="K32" s="350"/>
      <c r="L32" s="350"/>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350"/>
      <c r="AM32" s="350"/>
      <c r="AN32" s="350"/>
      <c r="AO32" s="350"/>
      <c r="AP32" s="350"/>
      <c r="AQ32" s="350"/>
      <c r="AR32" s="350"/>
      <c r="AS32" s="350"/>
      <c r="AT32" s="350"/>
      <c r="AU32" s="350"/>
      <c r="AV32" s="350"/>
      <c r="AW32" s="350"/>
      <c r="AX32" s="350"/>
      <c r="AY32" s="350"/>
      <c r="AZ32" s="350"/>
      <c r="BA32" s="350"/>
      <c r="BB32" s="350"/>
      <c r="BC32" s="350"/>
      <c r="BD32" s="350"/>
      <c r="BE32" s="350"/>
      <c r="BF32" s="350"/>
      <c r="BG32" s="350"/>
      <c r="BH32" s="350"/>
      <c r="BI32" s="350"/>
    </row>
    <row r="33" spans="1:61" s="362" customFormat="1" hidden="1" outlineLevel="1">
      <c r="A33" s="1" t="s">
        <v>253</v>
      </c>
    </row>
    <row r="34" spans="1:61" s="362" customFormat="1" hidden="1" outlineLevel="1">
      <c r="A34" s="838"/>
      <c r="B34" s="840" t="s">
        <v>252</v>
      </c>
      <c r="C34" s="223"/>
      <c r="D34" s="223"/>
      <c r="E34" s="223"/>
      <c r="F34" s="223"/>
      <c r="G34" s="223"/>
      <c r="H34" s="223"/>
      <c r="I34" s="223"/>
      <c r="J34" s="223"/>
      <c r="K34" s="223"/>
      <c r="L34" s="223"/>
      <c r="M34" s="223"/>
      <c r="N34" s="223"/>
      <c r="O34" s="223"/>
      <c r="P34" s="223">
        <v>2016</v>
      </c>
      <c r="Q34" s="223">
        <v>2016</v>
      </c>
    </row>
    <row r="35" spans="1:61" s="362" customFormat="1" hidden="1" outlineLevel="1">
      <c r="A35" s="839"/>
      <c r="B35" s="841"/>
      <c r="C35" s="223"/>
      <c r="D35" s="223"/>
      <c r="E35" s="223"/>
      <c r="F35" s="223"/>
      <c r="G35" s="223"/>
      <c r="H35" s="223"/>
      <c r="I35" s="223"/>
      <c r="J35" s="223"/>
      <c r="K35" s="223"/>
      <c r="L35" s="223"/>
      <c r="M35" s="223"/>
      <c r="N35" s="223"/>
      <c r="O35" s="223"/>
      <c r="P35" s="223" t="s">
        <v>191</v>
      </c>
      <c r="Q35" s="223" t="s">
        <v>62</v>
      </c>
      <c r="R35" s="223" t="s">
        <v>192</v>
      </c>
    </row>
    <row r="36" spans="1:61" s="362" customFormat="1" ht="30" hidden="1" outlineLevel="1">
      <c r="A36" s="318" t="s">
        <v>247</v>
      </c>
      <c r="B36" s="10"/>
      <c r="C36" s="13"/>
      <c r="D36" s="13"/>
      <c r="E36" s="13"/>
      <c r="F36" s="13"/>
      <c r="G36" s="13"/>
      <c r="H36" s="13"/>
      <c r="I36" s="13"/>
      <c r="J36" s="13"/>
      <c r="K36" s="13"/>
      <c r="L36" s="13"/>
      <c r="M36" s="13"/>
      <c r="N36" s="13"/>
      <c r="O36" s="13"/>
      <c r="P36" s="374">
        <v>0.66218145274028894</v>
      </c>
      <c r="Q36" s="445" t="s">
        <v>204</v>
      </c>
      <c r="R36" s="375" t="str">
        <f t="shared" ref="R36" si="11">IFERROR((Q36-P36)/P36,"brak")</f>
        <v>brak</v>
      </c>
    </row>
    <row r="37" spans="1:61" s="362" customFormat="1" ht="30" hidden="1" outlineLevel="1">
      <c r="A37" s="318" t="s">
        <v>248</v>
      </c>
      <c r="B37" s="10"/>
      <c r="C37" s="13"/>
      <c r="D37" s="13"/>
      <c r="E37" s="13"/>
      <c r="F37" s="13"/>
      <c r="G37" s="13"/>
      <c r="H37" s="13"/>
      <c r="I37" s="13"/>
      <c r="J37" s="13"/>
      <c r="K37" s="13"/>
      <c r="L37" s="13"/>
      <c r="M37" s="13"/>
      <c r="N37" s="13"/>
      <c r="O37" s="13"/>
      <c r="P37" s="374">
        <v>1.13924777277598</v>
      </c>
      <c r="Q37" s="374">
        <v>0.29691052052105699</v>
      </c>
      <c r="R37" s="375">
        <f t="shared" ref="R37:R40" si="12">IFERROR((Q37-P37)/P37,"brak")</f>
        <v>-0.7393802054160864</v>
      </c>
    </row>
    <row r="38" spans="1:61" s="362" customFormat="1" ht="30" hidden="1" outlineLevel="1">
      <c r="A38" s="318" t="s">
        <v>249</v>
      </c>
      <c r="B38" s="10"/>
      <c r="C38" s="13"/>
      <c r="D38" s="13"/>
      <c r="E38" s="13"/>
      <c r="F38" s="13"/>
      <c r="G38" s="13"/>
      <c r="H38" s="13"/>
      <c r="I38" s="13"/>
      <c r="J38" s="13"/>
      <c r="K38" s="13"/>
      <c r="L38" s="13"/>
      <c r="M38" s="13"/>
      <c r="N38" s="13"/>
      <c r="O38" s="13"/>
      <c r="P38" s="374">
        <v>46.962005688154399</v>
      </c>
      <c r="Q38" s="374">
        <v>44.013107977978898</v>
      </c>
      <c r="R38" s="375">
        <f t="shared" si="12"/>
        <v>-6.2793265895781894E-2</v>
      </c>
    </row>
    <row r="39" spans="1:61" s="362" customFormat="1" ht="30" hidden="1" outlineLevel="1">
      <c r="A39" s="318" t="s">
        <v>250</v>
      </c>
      <c r="B39" s="10"/>
      <c r="C39" s="13"/>
      <c r="D39" s="13"/>
      <c r="E39" s="13"/>
      <c r="F39" s="13"/>
      <c r="G39" s="13"/>
      <c r="H39" s="13"/>
      <c r="I39" s="13"/>
      <c r="J39" s="13"/>
      <c r="K39" s="13"/>
      <c r="L39" s="13"/>
      <c r="M39" s="13"/>
      <c r="N39" s="13"/>
      <c r="O39" s="13"/>
      <c r="P39" s="374">
        <v>2.1410997399119198</v>
      </c>
      <c r="Q39" s="374">
        <v>0.57396178300197398</v>
      </c>
      <c r="R39" s="375">
        <f t="shared" si="12"/>
        <v>-0.73193131907737019</v>
      </c>
    </row>
    <row r="40" spans="1:61" s="362" customFormat="1" ht="30" hidden="1" outlineLevel="1">
      <c r="A40" s="318" t="s">
        <v>251</v>
      </c>
      <c r="B40" s="10"/>
      <c r="C40" s="13"/>
      <c r="D40" s="13"/>
      <c r="E40" s="13"/>
      <c r="F40" s="13"/>
      <c r="G40" s="13"/>
      <c r="H40" s="13"/>
      <c r="I40" s="13"/>
      <c r="J40" s="13"/>
      <c r="K40" s="13"/>
      <c r="L40" s="13"/>
      <c r="M40" s="13"/>
      <c r="N40" s="13"/>
      <c r="O40" s="13"/>
      <c r="P40" s="374">
        <v>305.38956957758597</v>
      </c>
      <c r="Q40" s="374">
        <v>332.061364312188</v>
      </c>
      <c r="R40" s="375">
        <f t="shared" si="12"/>
        <v>8.7336953817690577E-2</v>
      </c>
    </row>
    <row r="41" spans="1:61" s="362" customFormat="1" hidden="1" outlineLevel="1">
      <c r="A41" s="35" t="s">
        <v>716</v>
      </c>
    </row>
    <row r="42" spans="1:61" s="362" customFormat="1" hidden="1" outlineLevel="1"/>
    <row r="43" spans="1:61" hidden="1" outlineLevel="1">
      <c r="A43" s="350" t="s">
        <v>125</v>
      </c>
      <c r="B43" s="145">
        <f>1/100</f>
        <v>0.01</v>
      </c>
      <c r="C43" s="350"/>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350"/>
      <c r="AI43" s="350"/>
      <c r="AJ43" s="350"/>
      <c r="AK43" s="350"/>
      <c r="AL43" s="350"/>
      <c r="AM43" s="350"/>
      <c r="AN43" s="350"/>
      <c r="AO43" s="350"/>
      <c r="AP43" s="350"/>
      <c r="AQ43" s="350"/>
      <c r="AR43" s="350"/>
      <c r="AS43" s="350"/>
      <c r="AT43" s="350"/>
      <c r="AU43" s="350"/>
      <c r="AV43" s="350"/>
      <c r="AW43" s="350"/>
      <c r="AX43" s="350"/>
      <c r="AY43" s="350"/>
      <c r="AZ43" s="350"/>
      <c r="BA43" s="350"/>
      <c r="BB43" s="350"/>
      <c r="BC43" s="350"/>
      <c r="BD43" s="350"/>
      <c r="BE43" s="350"/>
      <c r="BF43" s="350"/>
      <c r="BG43" s="350"/>
      <c r="BH43" s="350"/>
      <c r="BI43" s="350"/>
    </row>
    <row r="44" spans="1:61" hidden="1" outlineLevel="1">
      <c r="A44" s="350"/>
      <c r="B44" s="350"/>
      <c r="C44" s="350"/>
      <c r="D44" s="350"/>
      <c r="E44" s="350"/>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350"/>
      <c r="AG44" s="350"/>
      <c r="AH44" s="350"/>
      <c r="AI44" s="350"/>
      <c r="AJ44" s="350"/>
      <c r="AK44" s="350"/>
      <c r="AL44" s="350"/>
      <c r="AM44" s="350"/>
      <c r="AN44" s="350"/>
      <c r="AO44" s="350"/>
      <c r="AP44" s="350"/>
      <c r="AQ44" s="350"/>
      <c r="AR44" s="350"/>
      <c r="AS44" s="350"/>
      <c r="AT44" s="350"/>
      <c r="AU44" s="350"/>
      <c r="AV44" s="350"/>
      <c r="AW44" s="350"/>
      <c r="AX44" s="350"/>
      <c r="AY44" s="350"/>
      <c r="AZ44" s="350"/>
      <c r="BA44" s="350"/>
      <c r="BB44" s="350"/>
      <c r="BC44" s="350"/>
      <c r="BD44" s="350"/>
      <c r="BE44" s="350"/>
      <c r="BF44" s="350"/>
      <c r="BG44" s="350"/>
      <c r="BH44" s="350"/>
      <c r="BI44" s="350"/>
    </row>
    <row r="45" spans="1:61" hidden="1" outlineLevel="1">
      <c r="A45" s="9" t="s">
        <v>2</v>
      </c>
      <c r="B45" s="6"/>
      <c r="C45" s="6"/>
      <c r="D45" s="6"/>
      <c r="E45" s="6"/>
      <c r="F45" s="6"/>
      <c r="G45" s="6"/>
      <c r="H45" s="6"/>
      <c r="I45" s="6"/>
      <c r="J45" s="6"/>
      <c r="K45" s="6"/>
      <c r="L45" s="6"/>
      <c r="M45" s="6"/>
      <c r="N45" s="6"/>
      <c r="O45" s="6"/>
      <c r="P45" s="6"/>
      <c r="Q45" s="6">
        <v>2016</v>
      </c>
      <c r="R45" s="350"/>
      <c r="S45" s="350"/>
      <c r="T45" s="350"/>
      <c r="U45" s="350"/>
      <c r="V45" s="350"/>
      <c r="W45" s="350"/>
      <c r="X45" s="350"/>
      <c r="Y45" s="350"/>
      <c r="Z45" s="350"/>
      <c r="AA45" s="350"/>
      <c r="AB45" s="350"/>
      <c r="AC45" s="350"/>
      <c r="AD45" s="350"/>
      <c r="AE45" s="350"/>
      <c r="AF45" s="350"/>
      <c r="AG45" s="350"/>
      <c r="AH45" s="350"/>
      <c r="AI45" s="350"/>
      <c r="AJ45" s="350"/>
      <c r="AK45" s="350"/>
      <c r="AL45" s="350"/>
      <c r="AM45" s="350"/>
      <c r="AN45" s="350"/>
      <c r="AO45" s="350"/>
      <c r="AP45" s="350"/>
      <c r="AQ45" s="350"/>
      <c r="AR45" s="350"/>
      <c r="AS45" s="350"/>
      <c r="AT45" s="350"/>
      <c r="AU45" s="350"/>
      <c r="AV45" s="350"/>
      <c r="AW45" s="350"/>
      <c r="AX45" s="350"/>
      <c r="AY45" s="350"/>
      <c r="AZ45" s="350"/>
      <c r="BA45" s="350"/>
      <c r="BB45" s="350"/>
      <c r="BC45" s="350"/>
      <c r="BD45" s="350"/>
      <c r="BE45" s="350"/>
      <c r="BF45" s="350"/>
      <c r="BG45" s="350"/>
      <c r="BH45" s="350"/>
      <c r="BI45" s="350"/>
    </row>
    <row r="46" spans="1:61" hidden="1" outlineLevel="1">
      <c r="A46" s="8" t="s">
        <v>3</v>
      </c>
      <c r="B46" s="12"/>
      <c r="C46" s="12"/>
      <c r="D46" s="12"/>
      <c r="E46" s="12"/>
      <c r="F46" s="12"/>
      <c r="G46" s="12"/>
      <c r="H46" s="12"/>
      <c r="I46" s="12"/>
      <c r="J46" s="12"/>
      <c r="K46" s="12"/>
      <c r="L46" s="12"/>
      <c r="M46" s="12"/>
      <c r="N46" s="12"/>
      <c r="O46" s="12"/>
      <c r="P46" s="12"/>
      <c r="Q46" s="11">
        <f>Indeksacja!$Q$41</f>
        <v>4.3632</v>
      </c>
      <c r="R46" s="350"/>
      <c r="S46" s="350"/>
      <c r="T46" s="350"/>
      <c r="U46" s="350"/>
      <c r="V46" s="350"/>
      <c r="W46" s="350"/>
      <c r="X46" s="350"/>
      <c r="Y46" s="350"/>
      <c r="Z46" s="350"/>
      <c r="AA46" s="350"/>
      <c r="AB46" s="350"/>
      <c r="AC46" s="350"/>
      <c r="AD46" s="350"/>
      <c r="AE46" s="350"/>
      <c r="AF46" s="350"/>
      <c r="AG46" s="350"/>
      <c r="AH46" s="350"/>
      <c r="AI46" s="350"/>
      <c r="AJ46" s="350"/>
      <c r="AK46" s="350"/>
      <c r="AL46" s="350"/>
      <c r="AM46" s="350"/>
      <c r="AN46" s="350"/>
      <c r="AO46" s="350"/>
      <c r="AP46" s="350"/>
      <c r="AQ46" s="350"/>
      <c r="AR46" s="350"/>
      <c r="AS46" s="350"/>
      <c r="AT46" s="350"/>
      <c r="AU46" s="350"/>
      <c r="AV46" s="350"/>
      <c r="AW46" s="350"/>
      <c r="AX46" s="350"/>
      <c r="AY46" s="350"/>
      <c r="AZ46" s="350"/>
      <c r="BA46" s="350"/>
      <c r="BB46" s="350"/>
      <c r="BC46" s="350"/>
      <c r="BD46" s="350"/>
      <c r="BE46" s="350"/>
      <c r="BF46" s="350"/>
      <c r="BG46" s="350"/>
      <c r="BH46" s="350"/>
      <c r="BI46" s="350"/>
    </row>
    <row r="47" spans="1:61" hidden="1" outlineLevel="1">
      <c r="A47" s="35" t="str">
        <f>Indeksacja!$A$42</f>
        <v>Źródło: ECB, http://sdw.ecb.europa.eu/quickview.do?SERIES_KEY=120.EXR.A.PLN.EUR.SP00.A</v>
      </c>
      <c r="B47" s="350"/>
      <c r="C47" s="350"/>
      <c r="D47" s="350"/>
      <c r="E47" s="350"/>
      <c r="F47" s="350"/>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c r="AG47" s="350"/>
      <c r="AH47" s="350"/>
      <c r="AI47" s="350"/>
      <c r="AJ47" s="350"/>
      <c r="AK47" s="350"/>
      <c r="AL47" s="350"/>
      <c r="AM47" s="350"/>
      <c r="AN47" s="350"/>
      <c r="AO47" s="350"/>
      <c r="AP47" s="350"/>
      <c r="AQ47" s="350"/>
      <c r="AR47" s="350"/>
      <c r="AS47" s="350"/>
      <c r="AT47" s="350"/>
      <c r="AU47" s="350"/>
      <c r="AV47" s="350"/>
      <c r="AW47" s="350"/>
      <c r="AX47" s="350"/>
      <c r="AY47" s="350"/>
      <c r="AZ47" s="350"/>
      <c r="BA47" s="350"/>
      <c r="BB47" s="350"/>
      <c r="BC47" s="350"/>
      <c r="BD47" s="350"/>
      <c r="BE47" s="350"/>
      <c r="BF47" s="350"/>
      <c r="BG47" s="350"/>
      <c r="BH47" s="350"/>
      <c r="BI47" s="350"/>
    </row>
    <row r="48" spans="1:61" s="468" customFormat="1" hidden="1" outlineLevel="1"/>
    <row r="49" spans="1:61" s="471" customFormat="1" ht="30" hidden="1" outlineLevel="1">
      <c r="A49" s="131" t="s">
        <v>565</v>
      </c>
      <c r="B49" s="6"/>
      <c r="C49" s="6"/>
      <c r="D49" s="6"/>
      <c r="E49" s="6"/>
      <c r="F49" s="6"/>
      <c r="G49" s="6"/>
      <c r="H49" s="6"/>
      <c r="I49" s="6"/>
      <c r="J49" s="6"/>
      <c r="K49" s="6"/>
      <c r="L49" s="6"/>
      <c r="M49" s="6"/>
      <c r="N49" s="6"/>
      <c r="O49" s="6"/>
      <c r="P49" s="6"/>
      <c r="Q49" s="6">
        <v>2016</v>
      </c>
    </row>
    <row r="50" spans="1:61" s="471" customFormat="1" hidden="1" outlineLevel="1">
      <c r="A50" s="8" t="s">
        <v>62</v>
      </c>
      <c r="B50" s="484"/>
      <c r="C50" s="484"/>
      <c r="D50" s="484"/>
      <c r="E50" s="484"/>
      <c r="F50" s="484"/>
      <c r="G50" s="484"/>
      <c r="H50" s="484"/>
      <c r="I50" s="484"/>
      <c r="J50" s="484"/>
      <c r="K50" s="484"/>
      <c r="L50" s="484"/>
      <c r="M50" s="484"/>
      <c r="N50" s="484"/>
      <c r="O50" s="484"/>
      <c r="P50" s="484"/>
      <c r="Q50" s="470">
        <f>Indeksacja!$Q$44</f>
        <v>68.2</v>
      </c>
    </row>
    <row r="51" spans="1:61" s="471" customFormat="1" hidden="1" outlineLevel="1">
      <c r="A51" s="35" t="str">
        <f>Indeksacja!$A$45</f>
        <v>Źródło: Eurostat, https://ec.europa.eu/eurostat/data/database Main GDP aggregates per capita [nama_10_pc] (aktualizacja 28.01.2022)</v>
      </c>
    </row>
    <row r="52" spans="1:61" s="471" customFormat="1" hidden="1" outlineLevel="1"/>
    <row r="53" spans="1:61" s="592" customFormat="1" hidden="1" outlineLevel="1">
      <c r="A53" s="774" t="str">
        <f>'VoT czas ładunki'!$A$41</f>
        <v xml:space="preserve">Wyjaśnienie w sprawie przeliczenia wyjściowych wartości kosztów jednostkowych z zastosowaniem kursu walutowego PLN/EUR oraz PKB Polski per capita w jednostkach siły nabywczej (PPS): </v>
      </c>
      <c r="B53" s="774"/>
      <c r="C53" s="774"/>
      <c r="D53" s="774"/>
      <c r="E53" s="774"/>
      <c r="F53" s="774"/>
      <c r="G53" s="774"/>
      <c r="H53" s="774"/>
      <c r="I53" s="774"/>
      <c r="J53" s="774"/>
      <c r="K53" s="774"/>
      <c r="L53" s="774"/>
      <c r="M53" s="774"/>
      <c r="N53" s="774"/>
      <c r="O53" s="774"/>
      <c r="P53" s="774"/>
      <c r="Q53" s="774"/>
      <c r="R53" s="774"/>
      <c r="S53" s="774"/>
      <c r="T53" s="774"/>
      <c r="U53" s="774"/>
      <c r="V53" s="774"/>
    </row>
    <row r="54" spans="1:61" s="672" customFormat="1" hidden="1" outlineLevel="1">
      <c r="A54" s="774"/>
      <c r="B54" s="774"/>
      <c r="C54" s="774"/>
      <c r="D54" s="774"/>
      <c r="E54" s="774"/>
      <c r="F54" s="774"/>
      <c r="G54" s="774"/>
      <c r="H54" s="774"/>
      <c r="I54" s="774"/>
      <c r="J54" s="774"/>
      <c r="K54" s="774"/>
      <c r="L54" s="774"/>
      <c r="M54" s="774"/>
      <c r="N54" s="774"/>
      <c r="O54" s="774"/>
      <c r="P54" s="774"/>
      <c r="Q54" s="774"/>
      <c r="R54" s="774"/>
      <c r="S54" s="774"/>
      <c r="T54" s="774"/>
      <c r="U54" s="774"/>
      <c r="V54" s="774"/>
    </row>
    <row r="55" spans="1:61" s="592" customFormat="1" hidden="1" outlineLevel="1">
      <c r="A55" s="517" t="s">
        <v>511</v>
      </c>
    </row>
    <row r="56" spans="1:61" s="592" customFormat="1" hidden="1" outlineLevel="1"/>
    <row r="57" spans="1:61" hidden="1" outlineLevel="1">
      <c r="A57" s="9" t="s">
        <v>293</v>
      </c>
      <c r="B57" s="40"/>
      <c r="C57" s="40"/>
      <c r="D57" s="40"/>
      <c r="E57" s="40"/>
      <c r="F57" s="40"/>
      <c r="G57" s="40"/>
      <c r="H57" s="40"/>
      <c r="I57" s="40"/>
      <c r="J57" s="40"/>
      <c r="K57" s="40"/>
      <c r="L57" s="40"/>
      <c r="M57" s="40"/>
      <c r="N57" s="40"/>
      <c r="O57" s="40"/>
      <c r="P57" s="40"/>
      <c r="Q57" s="40">
        <v>2016</v>
      </c>
      <c r="R57" s="40">
        <f>Q57+1</f>
        <v>2017</v>
      </c>
      <c r="S57" s="40">
        <f t="shared" ref="S57:V57" si="13">R57+1</f>
        <v>2018</v>
      </c>
      <c r="T57" s="40">
        <f t="shared" si="13"/>
        <v>2019</v>
      </c>
      <c r="U57" s="40">
        <f t="shared" si="13"/>
        <v>2020</v>
      </c>
      <c r="V57" s="40">
        <f t="shared" si="13"/>
        <v>2021</v>
      </c>
      <c r="W57" s="40">
        <f t="shared" ref="W57" si="14">V57+1</f>
        <v>2022</v>
      </c>
      <c r="X57" s="40">
        <f t="shared" ref="X57" si="15">W57+1</f>
        <v>2023</v>
      </c>
      <c r="Y57" s="40">
        <f t="shared" ref="Y57" si="16">X57+1</f>
        <v>2024</v>
      </c>
      <c r="Z57" s="40">
        <f t="shared" ref="Z57" si="17">Y57+1</f>
        <v>2025</v>
      </c>
      <c r="AA57" s="40">
        <f t="shared" ref="AA57" si="18">Z57+1</f>
        <v>2026</v>
      </c>
      <c r="AB57" s="40">
        <f t="shared" ref="AB57" si="19">AA57+1</f>
        <v>2027</v>
      </c>
      <c r="AC57" s="40">
        <f t="shared" ref="AC57" si="20">AB57+1</f>
        <v>2028</v>
      </c>
      <c r="AD57" s="40">
        <f t="shared" ref="AD57" si="21">AC57+1</f>
        <v>2029</v>
      </c>
      <c r="AE57" s="40">
        <f t="shared" ref="AE57" si="22">AD57+1</f>
        <v>2030</v>
      </c>
      <c r="AF57" s="40">
        <f t="shared" ref="AF57" si="23">AE57+1</f>
        <v>2031</v>
      </c>
      <c r="AG57" s="40">
        <f t="shared" ref="AG57" si="24">AF57+1</f>
        <v>2032</v>
      </c>
      <c r="AH57" s="40">
        <f t="shared" ref="AH57" si="25">AG57+1</f>
        <v>2033</v>
      </c>
      <c r="AI57" s="40">
        <f t="shared" ref="AI57" si="26">AH57+1</f>
        <v>2034</v>
      </c>
      <c r="AJ57" s="40">
        <f t="shared" ref="AJ57" si="27">AI57+1</f>
        <v>2035</v>
      </c>
      <c r="AK57" s="40">
        <f t="shared" ref="AK57" si="28">AJ57+1</f>
        <v>2036</v>
      </c>
      <c r="AL57" s="40">
        <f t="shared" ref="AL57" si="29">AK57+1</f>
        <v>2037</v>
      </c>
      <c r="AM57" s="40">
        <f t="shared" ref="AM57" si="30">AL57+1</f>
        <v>2038</v>
      </c>
      <c r="AN57" s="40">
        <f t="shared" ref="AN57" si="31">AM57+1</f>
        <v>2039</v>
      </c>
      <c r="AO57" s="40">
        <f t="shared" ref="AO57" si="32">AN57+1</f>
        <v>2040</v>
      </c>
      <c r="AP57" s="40">
        <f t="shared" ref="AP57" si="33">AO57+1</f>
        <v>2041</v>
      </c>
      <c r="AQ57" s="40">
        <f t="shared" ref="AQ57" si="34">AP57+1</f>
        <v>2042</v>
      </c>
      <c r="AR57" s="40">
        <f t="shared" ref="AR57" si="35">AQ57+1</f>
        <v>2043</v>
      </c>
      <c r="AS57" s="40">
        <f t="shared" ref="AS57" si="36">AR57+1</f>
        <v>2044</v>
      </c>
      <c r="AT57" s="40">
        <f t="shared" ref="AT57" si="37">AS57+1</f>
        <v>2045</v>
      </c>
      <c r="AU57" s="40">
        <f t="shared" ref="AU57" si="38">AT57+1</f>
        <v>2046</v>
      </c>
      <c r="AV57" s="40">
        <f t="shared" ref="AV57" si="39">AU57+1</f>
        <v>2047</v>
      </c>
      <c r="AW57" s="40">
        <f t="shared" ref="AW57" si="40">AV57+1</f>
        <v>2048</v>
      </c>
      <c r="AX57" s="40">
        <f t="shared" ref="AX57" si="41">AW57+1</f>
        <v>2049</v>
      </c>
      <c r="AY57" s="40">
        <f t="shared" ref="AY57" si="42">AX57+1</f>
        <v>2050</v>
      </c>
      <c r="AZ57" s="40">
        <f t="shared" ref="AZ57" si="43">AY57+1</f>
        <v>2051</v>
      </c>
      <c r="BA57" s="40">
        <f t="shared" ref="BA57" si="44">AZ57+1</f>
        <v>2052</v>
      </c>
      <c r="BB57" s="40">
        <f t="shared" ref="BB57" si="45">BA57+1</f>
        <v>2053</v>
      </c>
      <c r="BC57" s="40">
        <f t="shared" ref="BC57" si="46">BB57+1</f>
        <v>2054</v>
      </c>
      <c r="BD57" s="40">
        <f t="shared" ref="BD57" si="47">BC57+1</f>
        <v>2055</v>
      </c>
      <c r="BE57" s="40">
        <f t="shared" ref="BE57" si="48">BD57+1</f>
        <v>2056</v>
      </c>
      <c r="BF57" s="40">
        <f t="shared" ref="BF57" si="49">BE57+1</f>
        <v>2057</v>
      </c>
      <c r="BG57" s="40">
        <f t="shared" ref="BG57" si="50">BF57+1</f>
        <v>2058</v>
      </c>
      <c r="BH57" s="40">
        <f t="shared" ref="BH57" si="51">BG57+1</f>
        <v>2059</v>
      </c>
      <c r="BI57" s="40">
        <f t="shared" ref="BI57" si="52">BH57+1</f>
        <v>2060</v>
      </c>
    </row>
    <row r="58" spans="1:61" ht="45" hidden="1" outlineLevel="1">
      <c r="A58" s="230" t="str">
        <f>Indeksacja!$A$63</f>
        <v>Indeksacja = Y * (PKB per cap PL) * (inflacja PL do roku bazowego), 
skumulowane od 2016</v>
      </c>
      <c r="B58" s="70"/>
      <c r="C58" s="70"/>
      <c r="D58" s="70"/>
      <c r="E58" s="70"/>
      <c r="F58" s="70"/>
      <c r="G58" s="70"/>
      <c r="H58" s="70"/>
      <c r="I58" s="70"/>
      <c r="J58" s="70"/>
      <c r="K58" s="70"/>
      <c r="L58" s="70"/>
      <c r="M58" s="70"/>
      <c r="N58" s="70"/>
      <c r="O58" s="70"/>
      <c r="P58" s="70"/>
      <c r="Q58" s="499">
        <f>Indeksacja!Q$63</f>
        <v>1</v>
      </c>
      <c r="R58" s="66">
        <f>Indeksacja!R$63</f>
        <v>1.0616153503184713</v>
      </c>
      <c r="S58" s="66">
        <f>Indeksacja!S$63</f>
        <v>1.1295409938152228</v>
      </c>
      <c r="T58" s="66">
        <f>Indeksacja!T$63</f>
        <v>1.1971500604510183</v>
      </c>
      <c r="U58" s="66">
        <f>Indeksacja!U$63</f>
        <v>1.2178946351589719</v>
      </c>
      <c r="V58" s="66">
        <f>Indeksacja!V$63</f>
        <v>1.3510008430393725</v>
      </c>
      <c r="W58" s="66">
        <f>Indeksacja!W$63</f>
        <v>1.6150446204056672</v>
      </c>
      <c r="X58" s="66">
        <f>Indeksacja!X$63</f>
        <v>1.8020482905123003</v>
      </c>
      <c r="Y58" s="66">
        <f>Indeksacja!Y$63</f>
        <v>1.8514409478637377</v>
      </c>
      <c r="Z58" s="66">
        <f>Indeksacja!Z$63</f>
        <v>1.9111642405092499</v>
      </c>
      <c r="AA58" s="66">
        <f>Indeksacja!AA$63</f>
        <v>1.9683794263013297</v>
      </c>
      <c r="AB58" s="66">
        <f>Indeksacja!AB$63</f>
        <v>2.0171017769813369</v>
      </c>
      <c r="AC58" s="66">
        <f>Indeksacja!AC$63</f>
        <v>2.0672053059042041</v>
      </c>
      <c r="AD58" s="66">
        <f>Indeksacja!AD$63</f>
        <v>2.1172043497398452</v>
      </c>
      <c r="AE58" s="66">
        <f>Indeksacja!AE$63</f>
        <v>2.1669964795901029</v>
      </c>
      <c r="AF58" s="66">
        <f>Indeksacja!AF$63</f>
        <v>2.2137238115546545</v>
      </c>
      <c r="AG58" s="66">
        <f>Indeksacja!AG$63</f>
        <v>2.2586319740242979</v>
      </c>
      <c r="AH58" s="66">
        <f>Indeksacja!AH$63</f>
        <v>2.3050915161771299</v>
      </c>
      <c r="AI58" s="66">
        <f>Indeksacja!AI$63</f>
        <v>2.3528924211884439</v>
      </c>
      <c r="AJ58" s="66">
        <f>Indeksacja!AJ$63</f>
        <v>2.3982822142460329</v>
      </c>
      <c r="AK58" s="66">
        <f>Indeksacja!AK$63</f>
        <v>2.4429574579276605</v>
      </c>
      <c r="AL58" s="66">
        <f>Indeksacja!AL$63</f>
        <v>2.4866831659785529</v>
      </c>
      <c r="AM58" s="66">
        <f>Indeksacja!AM$63</f>
        <v>2.5294760448220943</v>
      </c>
      <c r="AN58" s="66">
        <f>Indeksacja!AN$63</f>
        <v>2.5691748551819233</v>
      </c>
      <c r="AO58" s="66">
        <f>Indeksacja!AO$63</f>
        <v>2.6055632551146291</v>
      </c>
      <c r="AP58" s="66">
        <f>Indeksacja!AP$63</f>
        <v>2.6405549083819295</v>
      </c>
      <c r="AQ58" s="66">
        <f>Indeksacja!AQ$63</f>
        <v>2.6719332269623655</v>
      </c>
      <c r="AR58" s="66">
        <f>Indeksacja!AR$63</f>
        <v>2.7015574563464457</v>
      </c>
      <c r="AS58" s="66">
        <f>Indeksacja!AS$63</f>
        <v>2.7316671069545539</v>
      </c>
      <c r="AT58" s="66">
        <f>Indeksacja!AT$63</f>
        <v>2.7624330080703428</v>
      </c>
      <c r="AU58" s="66">
        <f>Indeksacja!AU$63</f>
        <v>2.7936930806448967</v>
      </c>
      <c r="AV58" s="66">
        <f>Indeksacja!AV$63</f>
        <v>2.825452580466675</v>
      </c>
      <c r="AW58" s="66">
        <f>Indeksacja!AW$63</f>
        <v>2.857749553376113</v>
      </c>
      <c r="AX58" s="66">
        <f>Indeksacja!AX$63</f>
        <v>2.8881628294022232</v>
      </c>
      <c r="AY58" s="66">
        <f>Indeksacja!AY$63</f>
        <v>2.9191128037152771</v>
      </c>
      <c r="AZ58" s="66">
        <f>Indeksacja!AZ$63</f>
        <v>2.9506306594636329</v>
      </c>
      <c r="BA58" s="66">
        <f>Indeksacja!BA$63</f>
        <v>2.9829462042624324</v>
      </c>
      <c r="BB58" s="66">
        <f>Indeksacja!BB$63</f>
        <v>3.0182960229035021</v>
      </c>
      <c r="BC58" s="66">
        <f>Indeksacja!BC$63</f>
        <v>3.0543739615389502</v>
      </c>
      <c r="BD58" s="66">
        <f>Indeksacja!BD$63</f>
        <v>3.0912302918042482</v>
      </c>
      <c r="BE58" s="66">
        <f>Indeksacja!BE$63</f>
        <v>3.1288787793099817</v>
      </c>
      <c r="BF58" s="66">
        <f>Indeksacja!BF$63</f>
        <v>3.1698612307539431</v>
      </c>
      <c r="BG58" s="66">
        <f>Indeksacja!BG$63</f>
        <v>3.2119627755418767</v>
      </c>
      <c r="BH58" s="66">
        <f>Indeksacja!BH$63</f>
        <v>3.25500139758728</v>
      </c>
      <c r="BI58" s="66">
        <f>Indeksacja!BI$63</f>
        <v>3.3014315033422923</v>
      </c>
    </row>
    <row r="59" spans="1:61" hidden="1" outlineLevel="1">
      <c r="A59" s="350"/>
      <c r="B59" s="35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c r="AL59" s="350"/>
      <c r="AM59" s="350"/>
      <c r="AN59" s="350"/>
      <c r="AO59" s="350"/>
      <c r="AP59" s="350"/>
      <c r="AQ59" s="350"/>
      <c r="AR59" s="350"/>
      <c r="AS59" s="350"/>
      <c r="AT59" s="350"/>
      <c r="AU59" s="350"/>
      <c r="AV59" s="350"/>
      <c r="AW59" s="350"/>
      <c r="AX59" s="350"/>
      <c r="AY59" s="350"/>
      <c r="AZ59" s="350"/>
      <c r="BA59" s="350"/>
      <c r="BB59" s="350"/>
      <c r="BC59" s="350"/>
      <c r="BD59" s="350"/>
      <c r="BE59" s="350"/>
      <c r="BF59" s="350"/>
      <c r="BG59" s="350"/>
      <c r="BH59" s="350"/>
      <c r="BI59" s="350"/>
    </row>
    <row r="60" spans="1:61" collapsed="1">
      <c r="A60" s="1" t="s">
        <v>734</v>
      </c>
      <c r="B60" s="350"/>
      <c r="C60" s="350"/>
      <c r="D60" s="350"/>
      <c r="E60" s="350"/>
      <c r="F60" s="350"/>
      <c r="G60" s="350"/>
      <c r="H60" s="350"/>
      <c r="I60" s="350"/>
      <c r="J60" s="350"/>
      <c r="K60" s="350"/>
      <c r="L60" s="350"/>
      <c r="M60" s="350"/>
      <c r="N60" s="350"/>
      <c r="O60" s="350"/>
      <c r="P60" s="350"/>
      <c r="Q60" s="350"/>
      <c r="R60" s="350"/>
      <c r="S60" s="350"/>
      <c r="T60" s="350"/>
      <c r="U60" s="350"/>
      <c r="V60" s="350"/>
      <c r="W60" s="350"/>
      <c r="X60" s="350"/>
      <c r="Y60" s="350"/>
      <c r="Z60" s="350"/>
      <c r="AA60" s="350"/>
      <c r="AB60" s="350"/>
      <c r="AC60" s="350"/>
      <c r="AD60" s="350"/>
      <c r="AE60" s="350"/>
      <c r="AF60" s="350"/>
      <c r="AG60" s="350"/>
      <c r="AH60" s="350"/>
      <c r="AI60" s="350"/>
      <c r="AJ60" s="350"/>
      <c r="AK60" s="350"/>
      <c r="AL60" s="350"/>
      <c r="AM60" s="350"/>
      <c r="AN60" s="350"/>
      <c r="AO60" s="350"/>
      <c r="AP60" s="350"/>
      <c r="AQ60" s="350"/>
      <c r="AR60" s="350"/>
      <c r="AS60" s="350"/>
      <c r="AT60" s="350"/>
      <c r="AU60" s="350"/>
      <c r="AV60" s="350"/>
      <c r="AW60" s="350"/>
      <c r="AX60" s="350"/>
      <c r="AY60" s="350"/>
      <c r="AZ60" s="350"/>
      <c r="BA60" s="350"/>
      <c r="BB60" s="350"/>
      <c r="BC60" s="350"/>
      <c r="BD60" s="350"/>
      <c r="BE60" s="350"/>
      <c r="BF60" s="350"/>
      <c r="BG60" s="350"/>
      <c r="BH60" s="350"/>
      <c r="BI60" s="350"/>
    </row>
    <row r="61" spans="1:61" ht="30">
      <c r="A61" s="352"/>
      <c r="B61" s="353" t="s">
        <v>238</v>
      </c>
      <c r="C61" s="321"/>
      <c r="D61" s="321"/>
      <c r="E61" s="321"/>
      <c r="F61" s="321"/>
      <c r="G61" s="321"/>
      <c r="H61" s="321"/>
      <c r="I61" s="321"/>
      <c r="J61" s="321"/>
      <c r="K61" s="321"/>
      <c r="L61" s="321"/>
      <c r="M61" s="321"/>
      <c r="N61" s="321"/>
      <c r="O61" s="321"/>
      <c r="P61" s="379" t="s">
        <v>229</v>
      </c>
      <c r="Q61" s="379" t="s">
        <v>219</v>
      </c>
      <c r="R61" s="379" t="s">
        <v>220</v>
      </c>
      <c r="S61" s="350"/>
      <c r="U61" s="350"/>
      <c r="V61" s="350"/>
      <c r="W61" s="350"/>
      <c r="X61" s="350"/>
      <c r="Y61" s="350"/>
      <c r="Z61" s="350"/>
      <c r="AA61" s="350"/>
      <c r="AB61" s="350"/>
      <c r="AC61" s="350"/>
      <c r="AD61" s="350"/>
      <c r="AE61" s="350"/>
      <c r="AF61" s="350"/>
      <c r="AG61" s="350"/>
      <c r="AH61" s="350"/>
      <c r="AI61" s="350"/>
      <c r="AJ61" s="350"/>
      <c r="AK61" s="350"/>
      <c r="AL61" s="350"/>
      <c r="AM61" s="350"/>
      <c r="AN61" s="350"/>
      <c r="AO61" s="350"/>
      <c r="AP61" s="350"/>
      <c r="AQ61" s="350"/>
      <c r="AR61" s="350"/>
      <c r="AS61" s="350"/>
      <c r="AT61" s="350"/>
      <c r="AU61" s="350"/>
      <c r="AV61" s="350"/>
      <c r="AW61" s="350"/>
      <c r="AX61" s="350"/>
      <c r="AY61" s="350"/>
      <c r="AZ61" s="350"/>
      <c r="BA61" s="350"/>
      <c r="BB61" s="350"/>
      <c r="BC61" s="350"/>
      <c r="BD61" s="350"/>
      <c r="BE61" s="350"/>
      <c r="BF61" s="350"/>
      <c r="BG61" s="350"/>
      <c r="BH61" s="350"/>
      <c r="BI61" s="350"/>
    </row>
    <row r="62" spans="1:61">
      <c r="A62" s="441" t="s">
        <v>237</v>
      </c>
      <c r="B62" s="442"/>
      <c r="C62" s="443"/>
      <c r="D62" s="443"/>
      <c r="E62" s="443"/>
      <c r="F62" s="443"/>
      <c r="G62" s="443"/>
      <c r="H62" s="443"/>
      <c r="I62" s="443"/>
      <c r="J62" s="443"/>
      <c r="K62" s="443"/>
      <c r="L62" s="443"/>
      <c r="M62" s="443"/>
      <c r="N62" s="443"/>
      <c r="O62" s="443"/>
      <c r="P62" s="442"/>
      <c r="Q62" s="442"/>
      <c r="R62" s="444"/>
      <c r="S62" s="350"/>
      <c r="T62" s="350"/>
      <c r="U62" s="350"/>
      <c r="V62" s="350"/>
      <c r="W62" s="350"/>
      <c r="X62" s="350"/>
      <c r="Y62" s="350"/>
      <c r="Z62" s="350"/>
      <c r="AA62" s="350"/>
      <c r="AB62" s="350"/>
      <c r="AC62" s="350"/>
      <c r="AD62" s="350"/>
      <c r="AE62" s="350"/>
      <c r="AF62" s="350"/>
      <c r="AG62" s="350"/>
      <c r="AH62" s="350"/>
      <c r="AI62" s="350"/>
      <c r="AJ62" s="350"/>
      <c r="AK62" s="350"/>
      <c r="AL62" s="350"/>
      <c r="AM62" s="350"/>
      <c r="AN62" s="350"/>
      <c r="AO62" s="350"/>
      <c r="AP62" s="350"/>
      <c r="AQ62" s="350"/>
      <c r="AR62" s="350"/>
      <c r="AS62" s="350"/>
      <c r="AT62" s="350"/>
      <c r="AU62" s="350"/>
      <c r="AV62" s="350"/>
      <c r="AW62" s="350"/>
      <c r="AX62" s="350"/>
      <c r="AY62" s="350"/>
      <c r="AZ62" s="350"/>
      <c r="BA62" s="350"/>
      <c r="BB62" s="350"/>
      <c r="BC62" s="350"/>
      <c r="BD62" s="350"/>
      <c r="BE62" s="350"/>
      <c r="BF62" s="350"/>
      <c r="BG62" s="350"/>
      <c r="BH62" s="350"/>
      <c r="BI62" s="350"/>
    </row>
    <row r="63" spans="1:61" ht="45">
      <c r="A63" s="318" t="str">
        <f t="shared" ref="A63:A69" si="53">A8</f>
        <v>Poc. pasażerskie 
dużych prędkości, 
elektryczne</v>
      </c>
      <c r="B63" s="225"/>
      <c r="C63" s="13"/>
      <c r="D63" s="13"/>
      <c r="E63" s="13"/>
      <c r="F63" s="13"/>
      <c r="G63" s="13"/>
      <c r="H63" s="13"/>
      <c r="I63" s="13"/>
      <c r="J63" s="13"/>
      <c r="K63" s="13"/>
      <c r="L63" s="13"/>
      <c r="M63" s="13"/>
      <c r="N63" s="13"/>
      <c r="O63" s="13"/>
      <c r="P63" s="376" t="str">
        <f t="shared" ref="P63:R69" si="54">IFERROR(T8*$B$43*$Q$46*$Q$50/100,"brak")</f>
        <v>brak</v>
      </c>
      <c r="Q63" s="467" t="str">
        <f t="shared" si="54"/>
        <v>brak</v>
      </c>
      <c r="R63" s="467" t="str">
        <f t="shared" si="54"/>
        <v>brak</v>
      </c>
      <c r="S63" s="350"/>
      <c r="T63" s="350"/>
      <c r="U63" s="350"/>
      <c r="V63" s="350"/>
      <c r="W63" s="350"/>
      <c r="X63" s="350"/>
      <c r="Y63" s="350"/>
      <c r="Z63" s="350"/>
      <c r="AA63" s="350"/>
      <c r="AB63" s="350"/>
      <c r="AC63" s="350"/>
      <c r="AD63" s="350"/>
      <c r="AE63" s="350"/>
      <c r="AF63" s="350"/>
      <c r="AG63" s="350"/>
      <c r="AH63" s="350"/>
      <c r="AI63" s="350"/>
      <c r="AJ63" s="350"/>
      <c r="AK63" s="350"/>
      <c r="AL63" s="350"/>
      <c r="AM63" s="350"/>
      <c r="AN63" s="350"/>
      <c r="AO63" s="350"/>
      <c r="AP63" s="350"/>
      <c r="AQ63" s="350"/>
      <c r="AR63" s="350"/>
      <c r="AS63" s="350"/>
      <c r="AT63" s="350"/>
      <c r="AU63" s="350"/>
      <c r="AV63" s="350"/>
      <c r="AW63" s="350"/>
      <c r="AX63" s="350"/>
      <c r="AY63" s="350"/>
      <c r="AZ63" s="350"/>
      <c r="BA63" s="350"/>
      <c r="BB63" s="350"/>
      <c r="BC63" s="350"/>
      <c r="BD63" s="350"/>
      <c r="BE63" s="350"/>
      <c r="BF63" s="350"/>
      <c r="BG63" s="350"/>
      <c r="BH63" s="350"/>
      <c r="BI63" s="350"/>
    </row>
    <row r="64" spans="1:61" ht="45">
      <c r="A64" s="428" t="str">
        <f t="shared" si="53"/>
        <v>Poc. pasażerskie 
międzyaglomeracyjne, 
elektryczne</v>
      </c>
      <c r="B64" s="429"/>
      <c r="C64" s="430"/>
      <c r="D64" s="430"/>
      <c r="E64" s="430"/>
      <c r="F64" s="430"/>
      <c r="G64" s="430"/>
      <c r="H64" s="430"/>
      <c r="I64" s="430"/>
      <c r="J64" s="430"/>
      <c r="K64" s="430"/>
      <c r="L64" s="430"/>
      <c r="M64" s="430"/>
      <c r="N64" s="430"/>
      <c r="O64" s="430"/>
      <c r="P64" s="405">
        <f t="shared" si="54"/>
        <v>8.7040575707485052E-3</v>
      </c>
      <c r="Q64" s="405">
        <f t="shared" si="54"/>
        <v>8.7040575707485052E-3</v>
      </c>
      <c r="R64" s="405">
        <f t="shared" si="54"/>
        <v>8.7040575707485052E-3</v>
      </c>
      <c r="S64" s="350"/>
      <c r="T64" s="350"/>
      <c r="U64" s="350"/>
      <c r="V64" s="350"/>
      <c r="W64" s="350"/>
      <c r="X64" s="350"/>
      <c r="Y64" s="350"/>
      <c r="Z64" s="350"/>
      <c r="AA64" s="350"/>
      <c r="AB64" s="350"/>
      <c r="AC64" s="350"/>
      <c r="AD64" s="350"/>
      <c r="AE64" s="350"/>
      <c r="AF64" s="350"/>
      <c r="AG64" s="350"/>
      <c r="AH64" s="350"/>
      <c r="AI64" s="350"/>
      <c r="AJ64" s="350"/>
      <c r="AK64" s="350"/>
      <c r="AL64" s="350"/>
      <c r="AM64" s="350"/>
      <c r="AN64" s="350"/>
      <c r="AO64" s="350"/>
      <c r="AP64" s="350"/>
      <c r="AQ64" s="350"/>
      <c r="AR64" s="350"/>
      <c r="AS64" s="350"/>
      <c r="AT64" s="350"/>
      <c r="AU64" s="350"/>
      <c r="AV64" s="350"/>
      <c r="AW64" s="350"/>
      <c r="AX64" s="350"/>
      <c r="AY64" s="350"/>
      <c r="AZ64" s="350"/>
      <c r="BA64" s="350"/>
      <c r="BB64" s="350"/>
      <c r="BC64" s="350"/>
      <c r="BD64" s="350"/>
      <c r="BE64" s="350"/>
      <c r="BF64" s="350"/>
      <c r="BG64" s="350"/>
      <c r="BH64" s="350"/>
      <c r="BI64" s="350"/>
    </row>
    <row r="65" spans="1:61" ht="60">
      <c r="A65" s="432" t="str">
        <f t="shared" si="53"/>
        <v>Poc. pasażerskie 
międzyaglomeracyjne, 
spalinowe (olej napędowy), EGR/SRC</v>
      </c>
      <c r="B65" s="433"/>
      <c r="C65" s="434"/>
      <c r="D65" s="434"/>
      <c r="E65" s="434"/>
      <c r="F65" s="434"/>
      <c r="G65" s="434"/>
      <c r="H65" s="434"/>
      <c r="I65" s="434"/>
      <c r="J65" s="434"/>
      <c r="K65" s="434"/>
      <c r="L65" s="434"/>
      <c r="M65" s="434"/>
      <c r="N65" s="434"/>
      <c r="O65" s="434"/>
      <c r="P65" s="435">
        <f t="shared" si="54"/>
        <v>1.1326869787014493</v>
      </c>
      <c r="Q65" s="435">
        <f t="shared" si="54"/>
        <v>0.91958852016361081</v>
      </c>
      <c r="R65" s="435">
        <f t="shared" si="54"/>
        <v>0.55597360829502995</v>
      </c>
      <c r="S65" s="350"/>
      <c r="T65" s="350"/>
      <c r="U65" s="350"/>
      <c r="V65" s="350"/>
      <c r="W65" s="350"/>
      <c r="X65" s="350"/>
      <c r="Y65" s="350"/>
      <c r="Z65" s="350"/>
      <c r="AA65" s="350"/>
      <c r="AB65" s="350"/>
      <c r="AC65" s="350"/>
      <c r="AD65" s="350"/>
      <c r="AE65" s="350"/>
      <c r="AF65" s="350"/>
      <c r="AG65" s="350"/>
      <c r="AH65" s="350"/>
      <c r="AI65" s="350"/>
      <c r="AJ65" s="350"/>
      <c r="AK65" s="350"/>
      <c r="AL65" s="350"/>
      <c r="AM65" s="350"/>
      <c r="AN65" s="350"/>
      <c r="AO65" s="350"/>
      <c r="AP65" s="350"/>
      <c r="AQ65" s="350"/>
      <c r="AR65" s="350"/>
      <c r="AS65" s="350"/>
      <c r="AT65" s="350"/>
      <c r="AU65" s="350"/>
      <c r="AV65" s="350"/>
      <c r="AW65" s="350"/>
      <c r="AX65" s="350"/>
      <c r="AY65" s="350"/>
      <c r="AZ65" s="350"/>
      <c r="BA65" s="350"/>
      <c r="BB65" s="350"/>
      <c r="BC65" s="350"/>
      <c r="BD65" s="350"/>
      <c r="BE65" s="350"/>
      <c r="BF65" s="350"/>
      <c r="BG65" s="350"/>
      <c r="BH65" s="350"/>
      <c r="BI65" s="350"/>
    </row>
    <row r="66" spans="1:61" ht="45">
      <c r="A66" s="437" t="str">
        <f t="shared" si="53"/>
        <v>Poc. pasażerskie 
międzyaglomeracyjne, 
spalinowe (olej napędowy)</v>
      </c>
      <c r="B66" s="438"/>
      <c r="C66" s="439"/>
      <c r="D66" s="439"/>
      <c r="E66" s="439"/>
      <c r="F66" s="439"/>
      <c r="G66" s="439"/>
      <c r="H66" s="439"/>
      <c r="I66" s="439"/>
      <c r="J66" s="439"/>
      <c r="K66" s="439"/>
      <c r="L66" s="439"/>
      <c r="M66" s="439"/>
      <c r="N66" s="439"/>
      <c r="O66" s="439"/>
      <c r="P66" s="406">
        <f t="shared" si="54"/>
        <v>1.7048971891148565</v>
      </c>
      <c r="Q66" s="406">
        <f t="shared" si="54"/>
        <v>1.6345746977973692</v>
      </c>
      <c r="R66" s="406">
        <f t="shared" si="54"/>
        <v>0.98045086074696808</v>
      </c>
      <c r="S66" s="350"/>
      <c r="T66" s="350"/>
      <c r="U66" s="350"/>
      <c r="V66" s="350"/>
      <c r="W66" s="350"/>
      <c r="X66" s="350"/>
      <c r="Y66" s="350"/>
      <c r="Z66" s="350"/>
      <c r="AA66" s="350"/>
      <c r="AB66" s="350"/>
      <c r="AC66" s="350"/>
      <c r="AD66" s="350"/>
      <c r="AE66" s="350"/>
      <c r="AF66" s="350"/>
      <c r="AG66" s="350"/>
      <c r="AH66" s="350"/>
      <c r="AI66" s="350"/>
      <c r="AJ66" s="350"/>
      <c r="AK66" s="350"/>
      <c r="AL66" s="350"/>
      <c r="AM66" s="350"/>
      <c r="AN66" s="350"/>
      <c r="AO66" s="350"/>
      <c r="AP66" s="350"/>
      <c r="AQ66" s="350"/>
      <c r="AR66" s="350"/>
      <c r="AS66" s="350"/>
      <c r="AT66" s="350"/>
      <c r="AU66" s="350"/>
      <c r="AV66" s="350"/>
      <c r="AW66" s="350"/>
      <c r="AX66" s="350"/>
      <c r="AY66" s="350"/>
      <c r="AZ66" s="350"/>
      <c r="BA66" s="350"/>
      <c r="BB66" s="350"/>
      <c r="BC66" s="350"/>
      <c r="BD66" s="350"/>
      <c r="BE66" s="350"/>
      <c r="BF66" s="350"/>
      <c r="BG66" s="350"/>
      <c r="BH66" s="350"/>
      <c r="BI66" s="350"/>
    </row>
    <row r="67" spans="1:61" ht="30">
      <c r="A67" s="428" t="str">
        <f t="shared" si="53"/>
        <v>Poc. pasażerskie regionalne, 
elektryczne</v>
      </c>
      <c r="B67" s="429"/>
      <c r="C67" s="430"/>
      <c r="D67" s="430"/>
      <c r="E67" s="430"/>
      <c r="F67" s="430"/>
      <c r="G67" s="430"/>
      <c r="H67" s="430"/>
      <c r="I67" s="430"/>
      <c r="J67" s="430"/>
      <c r="K67" s="430"/>
      <c r="L67" s="430"/>
      <c r="M67" s="430"/>
      <c r="N67" s="430"/>
      <c r="O67" s="430"/>
      <c r="P67" s="405">
        <f t="shared" si="54"/>
        <v>1.3518335672377122E-2</v>
      </c>
      <c r="Q67" s="405">
        <f t="shared" si="54"/>
        <v>1.3518335672377122E-2</v>
      </c>
      <c r="R67" s="405">
        <f t="shared" si="54"/>
        <v>1.3518335672377122E-2</v>
      </c>
      <c r="S67" s="350"/>
      <c r="T67" s="350"/>
      <c r="U67" s="350"/>
      <c r="V67" s="350"/>
      <c r="W67" s="350"/>
      <c r="X67" s="350"/>
      <c r="Y67" s="350"/>
      <c r="Z67" s="350"/>
      <c r="AA67" s="350"/>
      <c r="AB67" s="350"/>
      <c r="AC67" s="350"/>
      <c r="AD67" s="350"/>
      <c r="AE67" s="350"/>
      <c r="AF67" s="350"/>
      <c r="AG67" s="350"/>
      <c r="AH67" s="350"/>
      <c r="AI67" s="350"/>
      <c r="AJ67" s="350"/>
      <c r="AK67" s="350"/>
      <c r="AL67" s="350"/>
      <c r="AM67" s="350"/>
      <c r="AN67" s="350"/>
      <c r="AO67" s="350"/>
      <c r="AP67" s="350"/>
      <c r="AQ67" s="350"/>
      <c r="AR67" s="350"/>
      <c r="AS67" s="350"/>
      <c r="AT67" s="350"/>
      <c r="AU67" s="350"/>
      <c r="AV67" s="350"/>
      <c r="AW67" s="350"/>
      <c r="AX67" s="350"/>
      <c r="AY67" s="350"/>
      <c r="AZ67" s="350"/>
      <c r="BA67" s="350"/>
      <c r="BB67" s="350"/>
      <c r="BC67" s="350"/>
      <c r="BD67" s="350"/>
      <c r="BE67" s="350"/>
      <c r="BF67" s="350"/>
      <c r="BG67" s="350"/>
      <c r="BH67" s="350"/>
      <c r="BI67" s="350"/>
    </row>
    <row r="68" spans="1:61" ht="45">
      <c r="A68" s="432" t="str">
        <f t="shared" si="53"/>
        <v>Poc. pasażerskie regionalne, 
spalinowe (olej napędowy), EGR/SRC</v>
      </c>
      <c r="B68" s="433"/>
      <c r="C68" s="434"/>
      <c r="D68" s="434"/>
      <c r="E68" s="434"/>
      <c r="F68" s="434"/>
      <c r="G68" s="434"/>
      <c r="H68" s="434"/>
      <c r="I68" s="434"/>
      <c r="J68" s="434"/>
      <c r="K68" s="434"/>
      <c r="L68" s="434"/>
      <c r="M68" s="434"/>
      <c r="N68" s="434"/>
      <c r="O68" s="434"/>
      <c r="P68" s="435">
        <f t="shared" si="54"/>
        <v>1.3144549254286679</v>
      </c>
      <c r="Q68" s="435">
        <f t="shared" si="54"/>
        <v>1.0077760942968716</v>
      </c>
      <c r="R68" s="435">
        <f t="shared" si="54"/>
        <v>0.6144471906557003</v>
      </c>
      <c r="S68" s="350"/>
      <c r="T68" s="350"/>
      <c r="U68" s="350"/>
      <c r="V68" s="350"/>
      <c r="W68" s="350"/>
      <c r="X68" s="350"/>
      <c r="Y68" s="350"/>
      <c r="Z68" s="350"/>
      <c r="AA68" s="350"/>
      <c r="AB68" s="350"/>
      <c r="AC68" s="350"/>
      <c r="AD68" s="350"/>
      <c r="AE68" s="350"/>
      <c r="AF68" s="350"/>
      <c r="AG68" s="350"/>
      <c r="AH68" s="350"/>
      <c r="AI68" s="350"/>
      <c r="AJ68" s="350"/>
      <c r="AK68" s="350"/>
      <c r="AL68" s="350"/>
      <c r="AM68" s="350"/>
      <c r="AN68" s="350"/>
      <c r="AO68" s="350"/>
      <c r="AP68" s="350"/>
      <c r="AQ68" s="350"/>
      <c r="AR68" s="350"/>
      <c r="AS68" s="350"/>
      <c r="AT68" s="350"/>
      <c r="AU68" s="350"/>
      <c r="AV68" s="350"/>
      <c r="AW68" s="350"/>
      <c r="AX68" s="350"/>
      <c r="AY68" s="350"/>
      <c r="AZ68" s="350"/>
      <c r="BA68" s="350"/>
      <c r="BB68" s="350"/>
      <c r="BC68" s="350"/>
      <c r="BD68" s="350"/>
      <c r="BE68" s="350"/>
      <c r="BF68" s="350"/>
      <c r="BG68" s="350"/>
      <c r="BH68" s="350"/>
      <c r="BI68" s="350"/>
    </row>
    <row r="69" spans="1:61" ht="30">
      <c r="A69" s="437" t="str">
        <f t="shared" si="53"/>
        <v>Poc. pasażerskie regionalne, 
spalinowe (olej napędowy)</v>
      </c>
      <c r="B69" s="438"/>
      <c r="C69" s="439"/>
      <c r="D69" s="439"/>
      <c r="E69" s="439"/>
      <c r="F69" s="439"/>
      <c r="G69" s="439"/>
      <c r="H69" s="439"/>
      <c r="I69" s="439"/>
      <c r="J69" s="439"/>
      <c r="K69" s="439"/>
      <c r="L69" s="439"/>
      <c r="M69" s="439"/>
      <c r="N69" s="439"/>
      <c r="O69" s="439"/>
      <c r="P69" s="406">
        <f t="shared" si="54"/>
        <v>1.8197576738759595</v>
      </c>
      <c r="Q69" s="406">
        <f t="shared" si="54"/>
        <v>1.7185536596024671</v>
      </c>
      <c r="R69" s="406">
        <f t="shared" si="54"/>
        <v>1.0371057102405707</v>
      </c>
      <c r="S69" s="350"/>
      <c r="T69" s="350"/>
      <c r="U69" s="350"/>
      <c r="V69" s="350"/>
      <c r="W69" s="350"/>
      <c r="X69" s="350"/>
      <c r="Y69" s="350"/>
      <c r="Z69" s="350"/>
      <c r="AA69" s="350"/>
      <c r="AB69" s="350"/>
      <c r="AC69" s="350"/>
      <c r="AD69" s="350"/>
      <c r="AE69" s="350"/>
      <c r="AF69" s="350"/>
      <c r="AG69" s="350"/>
      <c r="AH69" s="350"/>
      <c r="AI69" s="350"/>
      <c r="AJ69" s="350"/>
      <c r="AK69" s="350"/>
      <c r="AL69" s="350"/>
      <c r="AM69" s="350"/>
      <c r="AN69" s="350"/>
      <c r="AO69" s="350"/>
      <c r="AP69" s="350"/>
      <c r="AQ69" s="350"/>
      <c r="AR69" s="350"/>
      <c r="AS69" s="350"/>
      <c r="AT69" s="350"/>
      <c r="AU69" s="350"/>
      <c r="AV69" s="350"/>
      <c r="AW69" s="350"/>
      <c r="AX69" s="350"/>
      <c r="AY69" s="350"/>
      <c r="AZ69" s="350"/>
      <c r="BA69" s="350"/>
      <c r="BB69" s="350"/>
      <c r="BC69" s="350"/>
      <c r="BD69" s="350"/>
      <c r="BE69" s="350"/>
      <c r="BF69" s="350"/>
      <c r="BG69" s="350"/>
      <c r="BH69" s="350"/>
      <c r="BI69" s="350"/>
    </row>
    <row r="70" spans="1:61">
      <c r="A70" s="441" t="s">
        <v>212</v>
      </c>
      <c r="B70" s="442"/>
      <c r="C70" s="443"/>
      <c r="D70" s="443"/>
      <c r="E70" s="443"/>
      <c r="F70" s="443"/>
      <c r="G70" s="443"/>
      <c r="H70" s="443"/>
      <c r="I70" s="443"/>
      <c r="J70" s="443"/>
      <c r="K70" s="443"/>
      <c r="L70" s="443"/>
      <c r="M70" s="443"/>
      <c r="N70" s="443"/>
      <c r="O70" s="443"/>
      <c r="P70" s="442"/>
      <c r="Q70" s="442"/>
      <c r="R70" s="444"/>
      <c r="S70" s="350"/>
      <c r="T70" s="350"/>
      <c r="U70" s="350"/>
      <c r="V70" s="350"/>
      <c r="W70" s="350"/>
      <c r="X70" s="350"/>
      <c r="Y70" s="350"/>
      <c r="Z70" s="350"/>
      <c r="AA70" s="350"/>
      <c r="AB70" s="350"/>
      <c r="AC70" s="350"/>
      <c r="AD70" s="350"/>
      <c r="AE70" s="350"/>
      <c r="AF70" s="350"/>
      <c r="AG70" s="350"/>
      <c r="AH70" s="350"/>
      <c r="AI70" s="350"/>
      <c r="AJ70" s="350"/>
      <c r="AK70" s="350"/>
      <c r="AL70" s="350"/>
      <c r="AM70" s="350"/>
      <c r="AN70" s="350"/>
      <c r="AO70" s="350"/>
      <c r="AP70" s="350"/>
      <c r="AQ70" s="350"/>
      <c r="AR70" s="350"/>
      <c r="AS70" s="350"/>
      <c r="AT70" s="350"/>
      <c r="AU70" s="350"/>
      <c r="AV70" s="350"/>
      <c r="AW70" s="350"/>
      <c r="AX70" s="350"/>
      <c r="AY70" s="350"/>
      <c r="AZ70" s="350"/>
      <c r="BA70" s="350"/>
      <c r="BB70" s="350"/>
      <c r="BC70" s="350"/>
      <c r="BD70" s="350"/>
      <c r="BE70" s="350"/>
      <c r="BF70" s="350"/>
      <c r="BG70" s="350"/>
      <c r="BH70" s="350"/>
      <c r="BI70" s="350"/>
    </row>
    <row r="71" spans="1:61" ht="45">
      <c r="A71" s="428" t="str">
        <f t="shared" ref="A71:A82" si="55">A16</f>
        <v>Poc. towarowe, 
krótkie kontenerowe (420 m), 
elektryczne</v>
      </c>
      <c r="B71" s="429"/>
      <c r="C71" s="430"/>
      <c r="D71" s="430"/>
      <c r="E71" s="430"/>
      <c r="F71" s="430"/>
      <c r="G71" s="430"/>
      <c r="H71" s="430"/>
      <c r="I71" s="430"/>
      <c r="J71" s="430"/>
      <c r="K71" s="430"/>
      <c r="L71" s="430"/>
      <c r="M71" s="430"/>
      <c r="N71" s="430"/>
      <c r="O71" s="430"/>
      <c r="P71" s="405">
        <f t="shared" ref="P71:P82" si="56">IFERROR(T16*$B$43*$Q$46*$Q$50/100,"brak")</f>
        <v>1.5953852343726076E-2</v>
      </c>
      <c r="Q71" s="405">
        <f t="shared" ref="Q71:Q82" si="57">IFERROR(U16*$B$43*$Q$46*$Q$50/100,"brak")</f>
        <v>1.5953852343726076E-2</v>
      </c>
      <c r="R71" s="405">
        <f t="shared" ref="R71:R82" si="58">IFERROR(V16*$B$43*$Q$46*$Q$50/100,"brak")</f>
        <v>1.5953852343726076E-2</v>
      </c>
      <c r="S71" s="350"/>
      <c r="T71" s="350"/>
      <c r="U71" s="350"/>
      <c r="V71" s="350"/>
      <c r="W71" s="350"/>
      <c r="X71" s="350"/>
      <c r="Y71" s="350"/>
      <c r="Z71" s="350"/>
      <c r="AA71" s="350"/>
      <c r="AB71" s="350"/>
      <c r="AC71" s="350"/>
      <c r="AD71" s="350"/>
      <c r="AE71" s="350"/>
      <c r="AF71" s="350"/>
      <c r="AG71" s="350"/>
      <c r="AH71" s="350"/>
      <c r="AI71" s="350"/>
      <c r="AJ71" s="350"/>
      <c r="AK71" s="350"/>
      <c r="AL71" s="350"/>
      <c r="AM71" s="350"/>
      <c r="AN71" s="350"/>
      <c r="AO71" s="350"/>
      <c r="AP71" s="350"/>
      <c r="AQ71" s="350"/>
      <c r="AR71" s="350"/>
      <c r="AS71" s="350"/>
      <c r="AT71" s="350"/>
      <c r="AU71" s="350"/>
      <c r="AV71" s="350"/>
      <c r="AW71" s="350"/>
      <c r="AX71" s="350"/>
      <c r="AY71" s="350"/>
      <c r="AZ71" s="350"/>
      <c r="BA71" s="350"/>
      <c r="BB71" s="350"/>
      <c r="BC71" s="350"/>
      <c r="BD71" s="350"/>
      <c r="BE71" s="350"/>
      <c r="BF71" s="350"/>
      <c r="BG71" s="350"/>
      <c r="BH71" s="350"/>
      <c r="BI71" s="350"/>
    </row>
    <row r="72" spans="1:61" ht="60">
      <c r="A72" s="432" t="str">
        <f t="shared" si="55"/>
        <v>Poc. towarowe, 
krótkie kontenerowe (420 m), 
spalinowe (olej napędowy), EGR/SRC</v>
      </c>
      <c r="B72" s="433"/>
      <c r="C72" s="434"/>
      <c r="D72" s="434"/>
      <c r="E72" s="434"/>
      <c r="F72" s="434"/>
      <c r="G72" s="434"/>
      <c r="H72" s="434"/>
      <c r="I72" s="434"/>
      <c r="J72" s="434"/>
      <c r="K72" s="434"/>
      <c r="L72" s="434"/>
      <c r="M72" s="434"/>
      <c r="N72" s="434"/>
      <c r="O72" s="434"/>
      <c r="P72" s="435">
        <f t="shared" si="56"/>
        <v>5.7655476279103404</v>
      </c>
      <c r="Q72" s="435">
        <f t="shared" si="57"/>
        <v>5.0022576273380546</v>
      </c>
      <c r="R72" s="435">
        <f t="shared" si="58"/>
        <v>2.9749599898213783</v>
      </c>
      <c r="S72" s="350"/>
      <c r="T72" s="350"/>
      <c r="U72" s="350"/>
      <c r="V72" s="350"/>
      <c r="W72" s="350"/>
      <c r="X72" s="350"/>
      <c r="Y72" s="350"/>
      <c r="Z72" s="350"/>
      <c r="AA72" s="350"/>
      <c r="AB72" s="350"/>
      <c r="AC72" s="350"/>
      <c r="AD72" s="350"/>
      <c r="AE72" s="350"/>
      <c r="AF72" s="350"/>
      <c r="AG72" s="350"/>
      <c r="AH72" s="350"/>
      <c r="AI72" s="350"/>
      <c r="AJ72" s="350"/>
      <c r="AK72" s="350"/>
      <c r="AL72" s="350"/>
      <c r="AM72" s="350"/>
      <c r="AN72" s="350"/>
      <c r="AO72" s="350"/>
      <c r="AP72" s="350"/>
      <c r="AQ72" s="350"/>
      <c r="AR72" s="350"/>
      <c r="AS72" s="350"/>
      <c r="AT72" s="350"/>
      <c r="AU72" s="350"/>
      <c r="AV72" s="350"/>
      <c r="AW72" s="350"/>
      <c r="AX72" s="350"/>
      <c r="AY72" s="350"/>
      <c r="AZ72" s="350"/>
      <c r="BA72" s="350"/>
      <c r="BB72" s="350"/>
      <c r="BC72" s="350"/>
      <c r="BD72" s="350"/>
      <c r="BE72" s="350"/>
      <c r="BF72" s="350"/>
      <c r="BG72" s="350"/>
      <c r="BH72" s="350"/>
      <c r="BI72" s="350"/>
    </row>
    <row r="73" spans="1:61" ht="45">
      <c r="A73" s="437" t="str">
        <f t="shared" si="55"/>
        <v>Poc. towarowe, 
krótkie kontenerowe (420 m), 
spalinowe (olej napędowy)</v>
      </c>
      <c r="B73" s="438"/>
      <c r="C73" s="439"/>
      <c r="D73" s="439"/>
      <c r="E73" s="439"/>
      <c r="F73" s="439"/>
      <c r="G73" s="439"/>
      <c r="H73" s="439"/>
      <c r="I73" s="439"/>
      <c r="J73" s="439"/>
      <c r="K73" s="439"/>
      <c r="L73" s="439"/>
      <c r="M73" s="439"/>
      <c r="N73" s="439"/>
      <c r="O73" s="439"/>
      <c r="P73" s="406">
        <f t="shared" si="56"/>
        <v>12.633567362568842</v>
      </c>
      <c r="Q73" s="406">
        <f t="shared" si="57"/>
        <v>10.320567360834643</v>
      </c>
      <c r="R73" s="406">
        <f t="shared" si="58"/>
        <v>6.1044206903313327</v>
      </c>
      <c r="S73" s="350"/>
      <c r="T73" s="350"/>
      <c r="U73" s="350"/>
      <c r="V73" s="350"/>
      <c r="W73" s="350"/>
      <c r="X73" s="350"/>
      <c r="Y73" s="350"/>
      <c r="Z73" s="350"/>
      <c r="AA73" s="350"/>
      <c r="AB73" s="350"/>
      <c r="AC73" s="350"/>
      <c r="AD73" s="350"/>
      <c r="AE73" s="350"/>
      <c r="AF73" s="350"/>
      <c r="AG73" s="350"/>
      <c r="AH73" s="350"/>
      <c r="AI73" s="350"/>
      <c r="AJ73" s="350"/>
      <c r="AK73" s="350"/>
      <c r="AL73" s="350"/>
      <c r="AM73" s="350"/>
      <c r="AN73" s="350"/>
      <c r="AO73" s="350"/>
      <c r="AP73" s="350"/>
      <c r="AQ73" s="350"/>
      <c r="AR73" s="350"/>
      <c r="AS73" s="350"/>
      <c r="AT73" s="350"/>
      <c r="AU73" s="350"/>
      <c r="AV73" s="350"/>
      <c r="AW73" s="350"/>
      <c r="AX73" s="350"/>
      <c r="AY73" s="350"/>
      <c r="AZ73" s="350"/>
      <c r="BA73" s="350"/>
      <c r="BB73" s="350"/>
      <c r="BC73" s="350"/>
      <c r="BD73" s="350"/>
      <c r="BE73" s="350"/>
      <c r="BF73" s="350"/>
      <c r="BG73" s="350"/>
      <c r="BH73" s="350"/>
      <c r="BI73" s="350"/>
    </row>
    <row r="74" spans="1:61" ht="45">
      <c r="A74" s="428" t="str">
        <f t="shared" si="55"/>
        <v>Poc. towarowe, 
krótkie masowe (300 m), 
elektryczne</v>
      </c>
      <c r="B74" s="429"/>
      <c r="C74" s="430"/>
      <c r="D74" s="430"/>
      <c r="E74" s="430"/>
      <c r="F74" s="430"/>
      <c r="G74" s="430"/>
      <c r="H74" s="430"/>
      <c r="I74" s="430"/>
      <c r="J74" s="430"/>
      <c r="K74" s="430"/>
      <c r="L74" s="430"/>
      <c r="M74" s="430"/>
      <c r="N74" s="430"/>
      <c r="O74" s="430"/>
      <c r="P74" s="405">
        <f t="shared" si="56"/>
        <v>2.3930778515589109E-2</v>
      </c>
      <c r="Q74" s="405">
        <f t="shared" si="57"/>
        <v>2.3930778515589109E-2</v>
      </c>
      <c r="R74" s="405">
        <f t="shared" si="58"/>
        <v>2.3930778515589109E-2</v>
      </c>
      <c r="S74" s="350"/>
      <c r="T74" s="350"/>
      <c r="U74" s="350"/>
      <c r="V74" s="350"/>
      <c r="W74" s="350"/>
      <c r="X74" s="350"/>
      <c r="Y74" s="350"/>
      <c r="Z74" s="350"/>
      <c r="AA74" s="350"/>
      <c r="AB74" s="350"/>
      <c r="AC74" s="350"/>
      <c r="AD74" s="350"/>
      <c r="AE74" s="350"/>
      <c r="AF74" s="350"/>
      <c r="AG74" s="350"/>
      <c r="AH74" s="350"/>
      <c r="AI74" s="350"/>
      <c r="AJ74" s="350"/>
      <c r="AK74" s="350"/>
      <c r="AL74" s="350"/>
      <c r="AM74" s="350"/>
      <c r="AN74" s="350"/>
      <c r="AO74" s="350"/>
      <c r="AP74" s="350"/>
      <c r="AQ74" s="350"/>
      <c r="AR74" s="350"/>
      <c r="AS74" s="350"/>
      <c r="AT74" s="350"/>
      <c r="AU74" s="350"/>
      <c r="AV74" s="350"/>
      <c r="AW74" s="350"/>
      <c r="AX74" s="350"/>
      <c r="AY74" s="350"/>
      <c r="AZ74" s="350"/>
      <c r="BA74" s="350"/>
      <c r="BB74" s="350"/>
      <c r="BC74" s="350"/>
      <c r="BD74" s="350"/>
      <c r="BE74" s="350"/>
      <c r="BF74" s="350"/>
      <c r="BG74" s="350"/>
      <c r="BH74" s="350"/>
      <c r="BI74" s="350"/>
    </row>
    <row r="75" spans="1:61" ht="60">
      <c r="A75" s="432" t="str">
        <f t="shared" si="55"/>
        <v>Poc. towarowe, 
krótkie masowe (300 m), 
spalinowe (olej napędowy), EGR/SRC</v>
      </c>
      <c r="B75" s="433"/>
      <c r="C75" s="434"/>
      <c r="D75" s="434"/>
      <c r="E75" s="434"/>
      <c r="F75" s="434"/>
      <c r="G75" s="434"/>
      <c r="H75" s="434"/>
      <c r="I75" s="434"/>
      <c r="J75" s="434"/>
      <c r="K75" s="434"/>
      <c r="L75" s="434"/>
      <c r="M75" s="434"/>
      <c r="N75" s="434"/>
      <c r="O75" s="434"/>
      <c r="P75" s="435">
        <f t="shared" si="56"/>
        <v>5.7789057733328022</v>
      </c>
      <c r="Q75" s="435">
        <f t="shared" si="57"/>
        <v>5.0156157727605164</v>
      </c>
      <c r="R75" s="435">
        <f t="shared" si="58"/>
        <v>2.9883181352438406</v>
      </c>
      <c r="S75" s="350"/>
      <c r="T75" s="350"/>
      <c r="U75" s="350"/>
      <c r="V75" s="350"/>
      <c r="W75" s="350"/>
      <c r="X75" s="350"/>
      <c r="Y75" s="350"/>
      <c r="Z75" s="350"/>
      <c r="AA75" s="350"/>
      <c r="AB75" s="350"/>
      <c r="AC75" s="350"/>
      <c r="AD75" s="350"/>
      <c r="AE75" s="350"/>
      <c r="AF75" s="350"/>
      <c r="AG75" s="350"/>
      <c r="AH75" s="350"/>
      <c r="AI75" s="350"/>
      <c r="AJ75" s="350"/>
      <c r="AK75" s="350"/>
      <c r="AL75" s="350"/>
      <c r="AM75" s="350"/>
      <c r="AN75" s="350"/>
      <c r="AO75" s="350"/>
      <c r="AP75" s="350"/>
      <c r="AQ75" s="350"/>
      <c r="AR75" s="350"/>
      <c r="AS75" s="350"/>
      <c r="AT75" s="350"/>
      <c r="AU75" s="350"/>
      <c r="AV75" s="350"/>
      <c r="AW75" s="350"/>
      <c r="AX75" s="350"/>
      <c r="AY75" s="350"/>
      <c r="AZ75" s="350"/>
      <c r="BA75" s="350"/>
      <c r="BB75" s="350"/>
      <c r="BC75" s="350"/>
      <c r="BD75" s="350"/>
      <c r="BE75" s="350"/>
      <c r="BF75" s="350"/>
      <c r="BG75" s="350"/>
      <c r="BH75" s="350"/>
      <c r="BI75" s="350"/>
    </row>
    <row r="76" spans="1:61" ht="45">
      <c r="A76" s="437" t="str">
        <f t="shared" si="55"/>
        <v>Poc. towarowe, 
krótkie masowe (300 m), 
spalinowe (olej napędowy)</v>
      </c>
      <c r="B76" s="438"/>
      <c r="C76" s="439"/>
      <c r="D76" s="439"/>
      <c r="E76" s="439"/>
      <c r="F76" s="439"/>
      <c r="G76" s="439"/>
      <c r="H76" s="439"/>
      <c r="I76" s="439"/>
      <c r="J76" s="439"/>
      <c r="K76" s="439"/>
      <c r="L76" s="439"/>
      <c r="M76" s="439"/>
      <c r="N76" s="439"/>
      <c r="O76" s="439"/>
      <c r="P76" s="406">
        <f t="shared" si="56"/>
        <v>12.646925507991307</v>
      </c>
      <c r="Q76" s="406">
        <f t="shared" si="57"/>
        <v>10.333925506257108</v>
      </c>
      <c r="R76" s="406">
        <f t="shared" si="58"/>
        <v>6.1177788357537954</v>
      </c>
      <c r="S76" s="350"/>
      <c r="T76" s="350"/>
      <c r="U76" s="350"/>
      <c r="V76" s="350"/>
      <c r="W76" s="350"/>
      <c r="X76" s="350"/>
      <c r="Y76" s="350"/>
      <c r="Z76" s="350"/>
      <c r="AA76" s="350"/>
      <c r="AB76" s="350"/>
      <c r="AC76" s="350"/>
      <c r="AD76" s="350"/>
      <c r="AE76" s="350"/>
      <c r="AF76" s="350"/>
      <c r="AG76" s="350"/>
      <c r="AH76" s="350"/>
      <c r="AI76" s="350"/>
      <c r="AJ76" s="350"/>
      <c r="AK76" s="350"/>
      <c r="AL76" s="350"/>
      <c r="AM76" s="350"/>
      <c r="AN76" s="350"/>
      <c r="AO76" s="350"/>
      <c r="AP76" s="350"/>
      <c r="AQ76" s="350"/>
      <c r="AR76" s="350"/>
      <c r="AS76" s="350"/>
      <c r="AT76" s="350"/>
      <c r="AU76" s="350"/>
      <c r="AV76" s="350"/>
      <c r="AW76" s="350"/>
      <c r="AX76" s="350"/>
      <c r="AY76" s="350"/>
      <c r="AZ76" s="350"/>
      <c r="BA76" s="350"/>
      <c r="BB76" s="350"/>
      <c r="BC76" s="350"/>
      <c r="BD76" s="350"/>
      <c r="BE76" s="350"/>
      <c r="BF76" s="350"/>
      <c r="BG76" s="350"/>
      <c r="BH76" s="350"/>
      <c r="BI76" s="350"/>
    </row>
    <row r="77" spans="1:61" ht="45">
      <c r="A77" s="428" t="str">
        <f t="shared" si="55"/>
        <v>Poc. towarowe, 
długie kontenerowe (620 m), 
elektryczne</v>
      </c>
      <c r="B77" s="429"/>
      <c r="C77" s="430"/>
      <c r="D77" s="430"/>
      <c r="E77" s="430"/>
      <c r="F77" s="430"/>
      <c r="G77" s="430"/>
      <c r="H77" s="430"/>
      <c r="I77" s="430"/>
      <c r="J77" s="430"/>
      <c r="K77" s="430"/>
      <c r="L77" s="430"/>
      <c r="M77" s="430"/>
      <c r="N77" s="430"/>
      <c r="O77" s="430"/>
      <c r="P77" s="405">
        <f t="shared" si="56"/>
        <v>4.4670786562433007E-2</v>
      </c>
      <c r="Q77" s="405">
        <f t="shared" si="57"/>
        <v>4.4670786562433007E-2</v>
      </c>
      <c r="R77" s="405">
        <f t="shared" si="58"/>
        <v>4.4670786562433007E-2</v>
      </c>
      <c r="S77" s="350"/>
      <c r="T77" s="350"/>
      <c r="U77" s="350"/>
      <c r="V77" s="350"/>
      <c r="W77" s="350"/>
      <c r="X77" s="350"/>
      <c r="Y77" s="350"/>
      <c r="Z77" s="350"/>
      <c r="AA77" s="350"/>
      <c r="AB77" s="350"/>
      <c r="AC77" s="350"/>
      <c r="AD77" s="350"/>
      <c r="AE77" s="350"/>
      <c r="AF77" s="350"/>
      <c r="AG77" s="350"/>
      <c r="AH77" s="350"/>
      <c r="AI77" s="350"/>
      <c r="AJ77" s="350"/>
      <c r="AK77" s="350"/>
      <c r="AL77" s="350"/>
      <c r="AM77" s="350"/>
      <c r="AN77" s="350"/>
      <c r="AO77" s="350"/>
      <c r="AP77" s="350"/>
      <c r="AQ77" s="350"/>
      <c r="AR77" s="350"/>
      <c r="AS77" s="350"/>
      <c r="AT77" s="350"/>
      <c r="AU77" s="350"/>
      <c r="AV77" s="350"/>
      <c r="AW77" s="350"/>
      <c r="AX77" s="350"/>
      <c r="AY77" s="350"/>
      <c r="AZ77" s="350"/>
      <c r="BA77" s="350"/>
      <c r="BB77" s="350"/>
      <c r="BC77" s="350"/>
      <c r="BD77" s="350"/>
      <c r="BE77" s="350"/>
      <c r="BF77" s="350"/>
      <c r="BG77" s="350"/>
      <c r="BH77" s="350"/>
      <c r="BI77" s="350"/>
    </row>
    <row r="78" spans="1:61" ht="60">
      <c r="A78" s="432" t="str">
        <f t="shared" si="55"/>
        <v>Poc. towarowe, 
długie kontenerowe (620 m), 
spalinowe (olej napędowy), EGR/SRC</v>
      </c>
      <c r="B78" s="433"/>
      <c r="C78" s="434"/>
      <c r="D78" s="434"/>
      <c r="E78" s="434"/>
      <c r="F78" s="434"/>
      <c r="G78" s="434"/>
      <c r="H78" s="434"/>
      <c r="I78" s="434"/>
      <c r="J78" s="434"/>
      <c r="K78" s="434"/>
      <c r="L78" s="434"/>
      <c r="M78" s="434"/>
      <c r="N78" s="434"/>
      <c r="O78" s="434"/>
      <c r="P78" s="435">
        <f t="shared" si="56"/>
        <v>5.8136369514312074</v>
      </c>
      <c r="Q78" s="435">
        <f t="shared" si="57"/>
        <v>5.0503469508589207</v>
      </c>
      <c r="R78" s="435">
        <f t="shared" si="58"/>
        <v>3.0230493133422449</v>
      </c>
      <c r="S78" s="350"/>
      <c r="T78" s="350"/>
      <c r="U78" s="350"/>
      <c r="V78" s="350"/>
      <c r="W78" s="350"/>
      <c r="X78" s="350"/>
      <c r="Y78" s="350"/>
      <c r="Z78" s="350"/>
      <c r="AA78" s="350"/>
      <c r="AB78" s="350"/>
      <c r="AC78" s="350"/>
      <c r="AD78" s="350"/>
      <c r="AE78" s="350"/>
      <c r="AF78" s="350"/>
      <c r="AG78" s="350"/>
      <c r="AH78" s="350"/>
      <c r="AI78" s="350"/>
      <c r="AJ78" s="350"/>
      <c r="AK78" s="350"/>
      <c r="AL78" s="350"/>
      <c r="AM78" s="350"/>
      <c r="AN78" s="350"/>
      <c r="AO78" s="350"/>
      <c r="AP78" s="350"/>
      <c r="AQ78" s="350"/>
      <c r="AR78" s="350"/>
      <c r="AS78" s="350"/>
      <c r="AT78" s="350"/>
      <c r="AU78" s="350"/>
      <c r="AV78" s="350"/>
      <c r="AW78" s="350"/>
      <c r="AX78" s="350"/>
      <c r="AY78" s="350"/>
      <c r="AZ78" s="350"/>
      <c r="BA78" s="350"/>
      <c r="BB78" s="350"/>
      <c r="BC78" s="350"/>
      <c r="BD78" s="350"/>
      <c r="BE78" s="350"/>
      <c r="BF78" s="350"/>
      <c r="BG78" s="350"/>
      <c r="BH78" s="350"/>
      <c r="BI78" s="350"/>
    </row>
    <row r="79" spans="1:61" ht="45">
      <c r="A79" s="437" t="str">
        <f t="shared" si="55"/>
        <v>Poc. towarowe, 
długie kontenerowe (620 m), 
spalinowe (olej napędowy)</v>
      </c>
      <c r="B79" s="438"/>
      <c r="C79" s="439"/>
      <c r="D79" s="439"/>
      <c r="E79" s="439"/>
      <c r="F79" s="439"/>
      <c r="G79" s="439"/>
      <c r="H79" s="439"/>
      <c r="I79" s="439"/>
      <c r="J79" s="439"/>
      <c r="K79" s="439"/>
      <c r="L79" s="439"/>
      <c r="M79" s="439"/>
      <c r="N79" s="439"/>
      <c r="O79" s="439"/>
      <c r="P79" s="406">
        <f t="shared" si="56"/>
        <v>12.681656686089712</v>
      </c>
      <c r="Q79" s="406">
        <f t="shared" si="57"/>
        <v>10.368656684355512</v>
      </c>
      <c r="R79" s="406">
        <f t="shared" si="58"/>
        <v>6.1525100138521989</v>
      </c>
      <c r="S79" s="350"/>
      <c r="T79" s="350"/>
      <c r="U79" s="350"/>
      <c r="V79" s="350"/>
      <c r="W79" s="350"/>
      <c r="X79" s="350"/>
      <c r="Y79" s="350"/>
      <c r="Z79" s="350"/>
      <c r="AA79" s="350"/>
      <c r="AB79" s="350"/>
      <c r="AC79" s="350"/>
      <c r="AD79" s="350"/>
      <c r="AE79" s="350"/>
      <c r="AF79" s="350"/>
      <c r="AG79" s="350"/>
      <c r="AH79" s="350"/>
      <c r="AI79" s="350"/>
      <c r="AJ79" s="350"/>
      <c r="AK79" s="350"/>
      <c r="AL79" s="350"/>
      <c r="AM79" s="350"/>
      <c r="AN79" s="350"/>
      <c r="AO79" s="350"/>
      <c r="AP79" s="350"/>
      <c r="AQ79" s="350"/>
      <c r="AR79" s="350"/>
      <c r="AS79" s="350"/>
      <c r="AT79" s="350"/>
      <c r="AU79" s="350"/>
      <c r="AV79" s="350"/>
      <c r="AW79" s="350"/>
      <c r="AX79" s="350"/>
      <c r="AY79" s="350"/>
      <c r="AZ79" s="350"/>
      <c r="BA79" s="350"/>
      <c r="BB79" s="350"/>
      <c r="BC79" s="350"/>
      <c r="BD79" s="350"/>
      <c r="BE79" s="350"/>
      <c r="BF79" s="350"/>
      <c r="BG79" s="350"/>
      <c r="BH79" s="350"/>
      <c r="BI79" s="350"/>
    </row>
    <row r="80" spans="1:61" ht="45">
      <c r="A80" s="428" t="str">
        <f t="shared" si="55"/>
        <v>Poc. towarowe, 
długie masowe (440 m), 
elektryczne</v>
      </c>
      <c r="B80" s="429"/>
      <c r="C80" s="430"/>
      <c r="D80" s="430"/>
      <c r="E80" s="430"/>
      <c r="F80" s="430"/>
      <c r="G80" s="430"/>
      <c r="H80" s="430"/>
      <c r="I80" s="430"/>
      <c r="J80" s="430"/>
      <c r="K80" s="430"/>
      <c r="L80" s="430"/>
      <c r="M80" s="430"/>
      <c r="N80" s="430"/>
      <c r="O80" s="430"/>
      <c r="P80" s="405">
        <f t="shared" si="56"/>
        <v>5.1052327499923458E-2</v>
      </c>
      <c r="Q80" s="405">
        <f t="shared" si="57"/>
        <v>5.1052327499923458E-2</v>
      </c>
      <c r="R80" s="405">
        <f t="shared" si="58"/>
        <v>5.1052327499923458E-2</v>
      </c>
      <c r="S80" s="350"/>
      <c r="T80" s="350"/>
      <c r="U80" s="350"/>
      <c r="V80" s="350"/>
      <c r="W80" s="350"/>
      <c r="X80" s="350"/>
      <c r="Y80" s="350"/>
      <c r="Z80" s="350"/>
      <c r="AA80" s="350"/>
      <c r="AB80" s="350"/>
      <c r="AC80" s="350"/>
      <c r="AD80" s="350"/>
      <c r="AE80" s="350"/>
      <c r="AF80" s="350"/>
      <c r="AG80" s="350"/>
      <c r="AH80" s="350"/>
      <c r="AI80" s="350"/>
      <c r="AJ80" s="350"/>
      <c r="AK80" s="350"/>
      <c r="AL80" s="350"/>
      <c r="AM80" s="350"/>
      <c r="AN80" s="350"/>
      <c r="AO80" s="350"/>
      <c r="AP80" s="350"/>
      <c r="AQ80" s="350"/>
      <c r="AR80" s="350"/>
      <c r="AS80" s="350"/>
      <c r="AT80" s="350"/>
      <c r="AU80" s="350"/>
      <c r="AV80" s="350"/>
      <c r="AW80" s="350"/>
      <c r="AX80" s="350"/>
      <c r="AY80" s="350"/>
      <c r="AZ80" s="350"/>
      <c r="BA80" s="350"/>
      <c r="BB80" s="350"/>
      <c r="BC80" s="350"/>
      <c r="BD80" s="350"/>
      <c r="BE80" s="350"/>
      <c r="BF80" s="350"/>
      <c r="BG80" s="350"/>
      <c r="BH80" s="350"/>
      <c r="BI80" s="350"/>
    </row>
    <row r="81" spans="1:61" ht="60">
      <c r="A81" s="432" t="str">
        <f t="shared" si="55"/>
        <v>Poc. towarowe, 
długie masowe (440 m), 
spalinowe (olej napędowy), EGR/SRC</v>
      </c>
      <c r="B81" s="433"/>
      <c r="C81" s="434"/>
      <c r="D81" s="434"/>
      <c r="E81" s="434"/>
      <c r="F81" s="434"/>
      <c r="G81" s="434"/>
      <c r="H81" s="434"/>
      <c r="I81" s="434"/>
      <c r="J81" s="434"/>
      <c r="K81" s="434"/>
      <c r="L81" s="434"/>
      <c r="M81" s="434"/>
      <c r="N81" s="434"/>
      <c r="O81" s="434"/>
      <c r="P81" s="435">
        <f t="shared" si="56"/>
        <v>5.8243234677691769</v>
      </c>
      <c r="Q81" s="435">
        <f t="shared" si="57"/>
        <v>5.0610334671968902</v>
      </c>
      <c r="R81" s="435">
        <f t="shared" si="58"/>
        <v>3.0337358296802148</v>
      </c>
      <c r="S81" s="350"/>
      <c r="T81" s="350"/>
      <c r="U81" s="350"/>
      <c r="V81" s="350"/>
      <c r="W81" s="350"/>
      <c r="X81" s="350"/>
      <c r="Y81" s="350"/>
      <c r="Z81" s="350"/>
      <c r="AA81" s="350"/>
      <c r="AB81" s="350"/>
      <c r="AC81" s="350"/>
      <c r="AD81" s="350"/>
      <c r="AE81" s="350"/>
      <c r="AF81" s="350"/>
      <c r="AG81" s="350"/>
      <c r="AH81" s="350"/>
      <c r="AI81" s="350"/>
      <c r="AJ81" s="350"/>
      <c r="AK81" s="350"/>
      <c r="AL81" s="350"/>
      <c r="AM81" s="350"/>
      <c r="AN81" s="350"/>
      <c r="AO81" s="350"/>
      <c r="AP81" s="350"/>
      <c r="AQ81" s="350"/>
      <c r="AR81" s="350"/>
      <c r="AS81" s="350"/>
      <c r="AT81" s="350"/>
      <c r="AU81" s="350"/>
      <c r="AV81" s="350"/>
      <c r="AW81" s="350"/>
      <c r="AX81" s="350"/>
      <c r="AY81" s="350"/>
      <c r="AZ81" s="350"/>
      <c r="BA81" s="350"/>
      <c r="BB81" s="350"/>
      <c r="BC81" s="350"/>
      <c r="BD81" s="350"/>
      <c r="BE81" s="350"/>
      <c r="BF81" s="350"/>
      <c r="BG81" s="350"/>
      <c r="BH81" s="350"/>
      <c r="BI81" s="350"/>
    </row>
    <row r="82" spans="1:61" ht="45">
      <c r="A82" s="437" t="str">
        <f t="shared" si="55"/>
        <v>Poc. towarowe, 
długie masowe (440 m), 
spalinowe (olej napędowy)</v>
      </c>
      <c r="B82" s="438"/>
      <c r="C82" s="439"/>
      <c r="D82" s="439"/>
      <c r="E82" s="439"/>
      <c r="F82" s="439"/>
      <c r="G82" s="439"/>
      <c r="H82" s="439"/>
      <c r="I82" s="439"/>
      <c r="J82" s="439"/>
      <c r="K82" s="439"/>
      <c r="L82" s="439"/>
      <c r="M82" s="439"/>
      <c r="N82" s="439"/>
      <c r="O82" s="439"/>
      <c r="P82" s="406">
        <f t="shared" si="56"/>
        <v>12.692343202427681</v>
      </c>
      <c r="Q82" s="406">
        <f t="shared" si="57"/>
        <v>10.379343200693482</v>
      </c>
      <c r="R82" s="406">
        <f t="shared" si="58"/>
        <v>6.1631965301901683</v>
      </c>
      <c r="S82" s="350"/>
      <c r="T82" s="350"/>
      <c r="U82" s="350"/>
      <c r="V82" s="350"/>
      <c r="W82" s="350"/>
      <c r="X82" s="350"/>
      <c r="Y82" s="350"/>
      <c r="Z82" s="350"/>
      <c r="AA82" s="350"/>
      <c r="AB82" s="350"/>
      <c r="AC82" s="350"/>
      <c r="AD82" s="350"/>
      <c r="AE82" s="350"/>
      <c r="AF82" s="350"/>
      <c r="AG82" s="350"/>
      <c r="AH82" s="350"/>
      <c r="AI82" s="350"/>
      <c r="AJ82" s="350"/>
      <c r="AK82" s="350"/>
      <c r="AL82" s="350"/>
      <c r="AM82" s="350"/>
      <c r="AN82" s="350"/>
      <c r="AO82" s="350"/>
      <c r="AP82" s="350"/>
      <c r="AQ82" s="350"/>
      <c r="AR82" s="350"/>
      <c r="AS82" s="350"/>
      <c r="AT82" s="350"/>
      <c r="AU82" s="350"/>
      <c r="AV82" s="350"/>
      <c r="AW82" s="350"/>
      <c r="AX82" s="350"/>
      <c r="AY82" s="350"/>
      <c r="AZ82" s="350"/>
      <c r="BA82" s="350"/>
      <c r="BB82" s="350"/>
      <c r="BC82" s="350"/>
      <c r="BD82" s="350"/>
      <c r="BE82" s="350"/>
      <c r="BF82" s="350"/>
      <c r="BG82" s="350"/>
      <c r="BH82" s="350"/>
      <c r="BI82" s="350"/>
    </row>
    <row r="83" spans="1:61">
      <c r="A83" s="350"/>
      <c r="B83" s="350"/>
      <c r="C83" s="350"/>
      <c r="D83" s="350"/>
      <c r="E83" s="350"/>
      <c r="F83" s="350"/>
      <c r="G83" s="350"/>
      <c r="H83" s="350"/>
      <c r="I83" s="350"/>
      <c r="J83" s="350"/>
      <c r="K83" s="350"/>
      <c r="L83" s="350"/>
      <c r="M83" s="350"/>
      <c r="N83" s="350"/>
      <c r="O83" s="350"/>
      <c r="P83" s="350"/>
      <c r="Q83" s="350"/>
      <c r="R83" s="350"/>
      <c r="S83" s="350"/>
      <c r="T83" s="350"/>
      <c r="U83" s="350"/>
      <c r="V83" s="350"/>
      <c r="W83" s="350"/>
      <c r="X83" s="350"/>
      <c r="Y83" s="350"/>
      <c r="Z83" s="350"/>
      <c r="AA83" s="350"/>
      <c r="AB83" s="350"/>
      <c r="AC83" s="350"/>
      <c r="AD83" s="350"/>
      <c r="AE83" s="350"/>
      <c r="AF83" s="350"/>
      <c r="AG83" s="350"/>
      <c r="AH83" s="350"/>
      <c r="AI83" s="350"/>
      <c r="AJ83" s="350"/>
      <c r="AK83" s="350"/>
      <c r="AL83" s="350"/>
      <c r="AM83" s="350"/>
      <c r="AN83" s="350"/>
      <c r="AO83" s="350"/>
      <c r="AP83" s="350"/>
      <c r="AQ83" s="350"/>
      <c r="AR83" s="350"/>
      <c r="AS83" s="350"/>
      <c r="AT83" s="350"/>
      <c r="AU83" s="350"/>
      <c r="AV83" s="350"/>
      <c r="AW83" s="350"/>
      <c r="AX83" s="350"/>
      <c r="AY83" s="350"/>
      <c r="AZ83" s="350"/>
      <c r="BA83" s="350"/>
      <c r="BB83" s="350"/>
      <c r="BC83" s="350"/>
      <c r="BD83" s="350"/>
      <c r="BE83" s="350"/>
      <c r="BF83" s="350"/>
      <c r="BG83" s="350"/>
      <c r="BH83" s="350"/>
      <c r="BI83" s="350"/>
    </row>
    <row r="84" spans="1:61">
      <c r="A84" s="822" t="s">
        <v>916</v>
      </c>
      <c r="B84" s="822"/>
      <c r="C84" s="822"/>
      <c r="D84" s="822"/>
      <c r="E84" s="822"/>
      <c r="F84" s="822"/>
      <c r="G84" s="822"/>
      <c r="H84" s="822"/>
      <c r="I84" s="822"/>
      <c r="J84" s="822"/>
      <c r="K84" s="822"/>
      <c r="L84" s="822"/>
      <c r="M84" s="822"/>
      <c r="N84" s="822"/>
      <c r="O84" s="822"/>
      <c r="P84" s="822"/>
      <c r="Q84" s="822"/>
      <c r="R84" s="822"/>
      <c r="S84" s="822"/>
      <c r="T84" s="822"/>
      <c r="U84" s="822"/>
      <c r="V84" s="822"/>
      <c r="W84" s="350"/>
      <c r="X84" s="350"/>
      <c r="Y84" s="350"/>
      <c r="Z84" s="350"/>
      <c r="AA84" s="350"/>
      <c r="AB84" s="350"/>
      <c r="AC84" s="350"/>
      <c r="AD84" s="350"/>
      <c r="AE84" s="350"/>
      <c r="AF84" s="350"/>
      <c r="AG84" s="350"/>
      <c r="AH84" s="350"/>
      <c r="AI84" s="350"/>
      <c r="AJ84" s="350"/>
      <c r="AK84" s="350"/>
      <c r="AL84" s="350"/>
      <c r="AM84" s="350"/>
      <c r="AN84" s="350"/>
      <c r="AO84" s="350"/>
      <c r="AP84" s="350"/>
      <c r="AQ84" s="350"/>
      <c r="AR84" s="350"/>
      <c r="AS84" s="350"/>
      <c r="AT84" s="350"/>
      <c r="AU84" s="350"/>
      <c r="AV84" s="350"/>
      <c r="AW84" s="350"/>
      <c r="AX84" s="350"/>
      <c r="AY84" s="350"/>
      <c r="AZ84" s="350"/>
      <c r="BA84" s="350"/>
      <c r="BB84" s="350"/>
      <c r="BC84" s="350"/>
      <c r="BD84" s="350"/>
      <c r="BE84" s="350"/>
      <c r="BF84" s="350"/>
      <c r="BG84" s="350"/>
      <c r="BH84" s="350"/>
      <c r="BI84" s="350"/>
    </row>
    <row r="85" spans="1:61" s="668" customFormat="1">
      <c r="A85" s="830"/>
      <c r="B85" s="830"/>
      <c r="C85" s="830"/>
      <c r="D85" s="830"/>
      <c r="E85" s="830"/>
      <c r="F85" s="830"/>
      <c r="G85" s="830"/>
      <c r="H85" s="830"/>
      <c r="I85" s="830"/>
      <c r="J85" s="830"/>
      <c r="K85" s="830"/>
      <c r="L85" s="830"/>
      <c r="M85" s="830"/>
      <c r="N85" s="830"/>
      <c r="O85" s="830"/>
      <c r="P85" s="830"/>
      <c r="Q85" s="830"/>
      <c r="R85" s="830"/>
      <c r="S85" s="830"/>
      <c r="T85" s="830"/>
      <c r="U85" s="830"/>
      <c r="V85" s="830"/>
    </row>
    <row r="86" spans="1:61">
      <c r="A86" s="842" t="s">
        <v>52</v>
      </c>
      <c r="B86" s="663" t="s">
        <v>309</v>
      </c>
      <c r="C86" s="649"/>
      <c r="D86" s="649"/>
      <c r="E86" s="649"/>
      <c r="F86" s="649"/>
      <c r="G86" s="649"/>
      <c r="H86" s="649"/>
      <c r="I86" s="649"/>
      <c r="J86" s="649"/>
      <c r="K86" s="649"/>
      <c r="L86" s="649"/>
      <c r="M86" s="649"/>
      <c r="N86" s="649"/>
      <c r="O86" s="649"/>
      <c r="P86" s="652"/>
      <c r="Q86" s="6"/>
      <c r="R86" s="6"/>
      <c r="S86" s="6"/>
      <c r="T86" s="6">
        <v>2020</v>
      </c>
      <c r="U86" s="6">
        <f t="shared" ref="U86" si="59">T86+1</f>
        <v>2021</v>
      </c>
      <c r="V86" s="6">
        <f t="shared" ref="V86" si="60">U86+1</f>
        <v>2022</v>
      </c>
      <c r="W86" s="6">
        <f t="shared" ref="W86:BI86" si="61">V86+1</f>
        <v>2023</v>
      </c>
      <c r="X86" s="6">
        <f t="shared" si="61"/>
        <v>2024</v>
      </c>
      <c r="Y86" s="6">
        <f t="shared" si="61"/>
        <v>2025</v>
      </c>
      <c r="Z86" s="6">
        <f t="shared" si="61"/>
        <v>2026</v>
      </c>
      <c r="AA86" s="6">
        <f t="shared" si="61"/>
        <v>2027</v>
      </c>
      <c r="AB86" s="6">
        <f t="shared" si="61"/>
        <v>2028</v>
      </c>
      <c r="AC86" s="6">
        <f t="shared" si="61"/>
        <v>2029</v>
      </c>
      <c r="AD86" s="6">
        <f t="shared" si="61"/>
        <v>2030</v>
      </c>
      <c r="AE86" s="6">
        <f t="shared" si="61"/>
        <v>2031</v>
      </c>
      <c r="AF86" s="6">
        <f t="shared" si="61"/>
        <v>2032</v>
      </c>
      <c r="AG86" s="6">
        <f t="shared" si="61"/>
        <v>2033</v>
      </c>
      <c r="AH86" s="6">
        <f t="shared" si="61"/>
        <v>2034</v>
      </c>
      <c r="AI86" s="6">
        <f t="shared" si="61"/>
        <v>2035</v>
      </c>
      <c r="AJ86" s="6">
        <f t="shared" si="61"/>
        <v>2036</v>
      </c>
      <c r="AK86" s="6">
        <f t="shared" si="61"/>
        <v>2037</v>
      </c>
      <c r="AL86" s="6">
        <f t="shared" si="61"/>
        <v>2038</v>
      </c>
      <c r="AM86" s="6">
        <f t="shared" si="61"/>
        <v>2039</v>
      </c>
      <c r="AN86" s="6">
        <f t="shared" si="61"/>
        <v>2040</v>
      </c>
      <c r="AO86" s="6">
        <f t="shared" si="61"/>
        <v>2041</v>
      </c>
      <c r="AP86" s="6">
        <f t="shared" si="61"/>
        <v>2042</v>
      </c>
      <c r="AQ86" s="6">
        <f t="shared" si="61"/>
        <v>2043</v>
      </c>
      <c r="AR86" s="6">
        <f t="shared" si="61"/>
        <v>2044</v>
      </c>
      <c r="AS86" s="6">
        <f t="shared" si="61"/>
        <v>2045</v>
      </c>
      <c r="AT86" s="6">
        <f t="shared" si="61"/>
        <v>2046</v>
      </c>
      <c r="AU86" s="6">
        <f t="shared" si="61"/>
        <v>2047</v>
      </c>
      <c r="AV86" s="6">
        <f t="shared" si="61"/>
        <v>2048</v>
      </c>
      <c r="AW86" s="6">
        <f t="shared" si="61"/>
        <v>2049</v>
      </c>
      <c r="AX86" s="6">
        <f t="shared" si="61"/>
        <v>2050</v>
      </c>
      <c r="AY86" s="6">
        <f t="shared" si="61"/>
        <v>2051</v>
      </c>
      <c r="AZ86" s="6">
        <f t="shared" si="61"/>
        <v>2052</v>
      </c>
      <c r="BA86" s="6">
        <f t="shared" si="61"/>
        <v>2053</v>
      </c>
      <c r="BB86" s="6">
        <f t="shared" si="61"/>
        <v>2054</v>
      </c>
      <c r="BC86" s="6">
        <f t="shared" si="61"/>
        <v>2055</v>
      </c>
      <c r="BD86" s="6">
        <f t="shared" si="61"/>
        <v>2056</v>
      </c>
      <c r="BE86" s="6">
        <f t="shared" si="61"/>
        <v>2057</v>
      </c>
      <c r="BF86" s="6">
        <f t="shared" si="61"/>
        <v>2058</v>
      </c>
      <c r="BG86" s="6">
        <f t="shared" si="61"/>
        <v>2059</v>
      </c>
      <c r="BH86" s="6">
        <f t="shared" si="61"/>
        <v>2060</v>
      </c>
      <c r="BI86" s="6">
        <f t="shared" si="61"/>
        <v>2061</v>
      </c>
    </row>
    <row r="87" spans="1:61">
      <c r="A87" s="843"/>
      <c r="B87" s="664" t="s">
        <v>510</v>
      </c>
      <c r="C87" s="659"/>
      <c r="D87" s="659"/>
      <c r="E87" s="659"/>
      <c r="F87" s="659"/>
      <c r="G87" s="659"/>
      <c r="H87" s="659"/>
      <c r="I87" s="659"/>
      <c r="J87" s="659"/>
      <c r="K87" s="659"/>
      <c r="L87" s="659"/>
      <c r="M87" s="659"/>
      <c r="N87" s="659"/>
      <c r="O87" s="659"/>
      <c r="P87" s="665"/>
      <c r="Q87" s="661">
        <f>DATE(2016,12,31)</f>
        <v>42735</v>
      </c>
      <c r="R87" s="661">
        <f>DATE(YEAR(Q87+1),12,31)</f>
        <v>43100</v>
      </c>
      <c r="S87" s="661">
        <f t="shared" ref="S87" si="62">DATE(YEAR(R87+1),12,31)</f>
        <v>43465</v>
      </c>
      <c r="T87" s="661">
        <f>DATE(YEAR(S87+1),12,31)</f>
        <v>43830</v>
      </c>
      <c r="U87" s="661">
        <f t="shared" ref="U87:BI87" si="63">DATE(YEAR(T87+1),12,31)</f>
        <v>44196</v>
      </c>
      <c r="V87" s="661">
        <f t="shared" si="63"/>
        <v>44561</v>
      </c>
      <c r="W87" s="661">
        <f t="shared" si="63"/>
        <v>44926</v>
      </c>
      <c r="X87" s="661">
        <f t="shared" si="63"/>
        <v>45291</v>
      </c>
      <c r="Y87" s="661">
        <f t="shared" si="63"/>
        <v>45657</v>
      </c>
      <c r="Z87" s="661">
        <f t="shared" si="63"/>
        <v>46022</v>
      </c>
      <c r="AA87" s="661">
        <f t="shared" si="63"/>
        <v>46387</v>
      </c>
      <c r="AB87" s="661">
        <f t="shared" si="63"/>
        <v>46752</v>
      </c>
      <c r="AC87" s="661">
        <f t="shared" si="63"/>
        <v>47118</v>
      </c>
      <c r="AD87" s="661">
        <f t="shared" si="63"/>
        <v>47483</v>
      </c>
      <c r="AE87" s="661">
        <f t="shared" si="63"/>
        <v>47848</v>
      </c>
      <c r="AF87" s="661">
        <f t="shared" si="63"/>
        <v>48213</v>
      </c>
      <c r="AG87" s="661">
        <f t="shared" si="63"/>
        <v>48579</v>
      </c>
      <c r="AH87" s="661">
        <f t="shared" si="63"/>
        <v>48944</v>
      </c>
      <c r="AI87" s="661">
        <f t="shared" si="63"/>
        <v>49309</v>
      </c>
      <c r="AJ87" s="661">
        <f t="shared" si="63"/>
        <v>49674</v>
      </c>
      <c r="AK87" s="661">
        <f t="shared" si="63"/>
        <v>50040</v>
      </c>
      <c r="AL87" s="661">
        <f t="shared" si="63"/>
        <v>50405</v>
      </c>
      <c r="AM87" s="661">
        <f t="shared" si="63"/>
        <v>50770</v>
      </c>
      <c r="AN87" s="661">
        <f t="shared" si="63"/>
        <v>51135</v>
      </c>
      <c r="AO87" s="661">
        <f t="shared" si="63"/>
        <v>51501</v>
      </c>
      <c r="AP87" s="661">
        <f t="shared" si="63"/>
        <v>51866</v>
      </c>
      <c r="AQ87" s="661">
        <f t="shared" si="63"/>
        <v>52231</v>
      </c>
      <c r="AR87" s="661">
        <f t="shared" si="63"/>
        <v>52596</v>
      </c>
      <c r="AS87" s="661">
        <f t="shared" si="63"/>
        <v>52962</v>
      </c>
      <c r="AT87" s="661">
        <f t="shared" si="63"/>
        <v>53327</v>
      </c>
      <c r="AU87" s="661">
        <f t="shared" si="63"/>
        <v>53692</v>
      </c>
      <c r="AV87" s="661">
        <f t="shared" si="63"/>
        <v>54057</v>
      </c>
      <c r="AW87" s="661">
        <f t="shared" si="63"/>
        <v>54423</v>
      </c>
      <c r="AX87" s="661">
        <f t="shared" si="63"/>
        <v>54788</v>
      </c>
      <c r="AY87" s="661">
        <f t="shared" si="63"/>
        <v>55153</v>
      </c>
      <c r="AZ87" s="661">
        <f t="shared" si="63"/>
        <v>55518</v>
      </c>
      <c r="BA87" s="661">
        <f t="shared" si="63"/>
        <v>55884</v>
      </c>
      <c r="BB87" s="661">
        <f t="shared" si="63"/>
        <v>56249</v>
      </c>
      <c r="BC87" s="661">
        <f t="shared" si="63"/>
        <v>56614</v>
      </c>
      <c r="BD87" s="661">
        <f t="shared" si="63"/>
        <v>56979</v>
      </c>
      <c r="BE87" s="661">
        <f t="shared" si="63"/>
        <v>57345</v>
      </c>
      <c r="BF87" s="661">
        <f t="shared" si="63"/>
        <v>57710</v>
      </c>
      <c r="BG87" s="661">
        <f t="shared" si="63"/>
        <v>58075</v>
      </c>
      <c r="BH87" s="661">
        <f t="shared" si="63"/>
        <v>58440</v>
      </c>
      <c r="BI87" s="661">
        <f t="shared" si="63"/>
        <v>58806</v>
      </c>
    </row>
    <row r="88" spans="1:61" ht="45">
      <c r="A88" s="446" t="str">
        <f>A64</f>
        <v>Poc. pasażerskie 
międzyaglomeracyjne, 
elektryczne</v>
      </c>
      <c r="B88" s="110" t="s">
        <v>31</v>
      </c>
      <c r="C88" s="13"/>
      <c r="D88" s="13"/>
      <c r="E88" s="13"/>
      <c r="F88" s="13"/>
      <c r="G88" s="13"/>
      <c r="H88" s="13"/>
      <c r="I88" s="13"/>
      <c r="J88" s="13"/>
      <c r="K88" s="13"/>
      <c r="L88" s="13"/>
      <c r="M88" s="13"/>
      <c r="N88" s="13"/>
      <c r="O88" s="13"/>
      <c r="P88" s="13"/>
      <c r="Q88" s="78"/>
      <c r="R88" s="78"/>
      <c r="S88" s="78"/>
      <c r="T88" s="10">
        <f t="shared" ref="T88:BI88" si="64">$Q$64*T$58</f>
        <v>1.0420063046990717E-2</v>
      </c>
      <c r="U88" s="10">
        <f t="shared" si="64"/>
        <v>1.0600625019529438E-2</v>
      </c>
      <c r="V88" s="10">
        <f t="shared" si="64"/>
        <v>1.1759189115944464E-2</v>
      </c>
      <c r="W88" s="10">
        <f t="shared" si="64"/>
        <v>1.4057441355338594E-2</v>
      </c>
      <c r="X88" s="10">
        <f t="shared" si="64"/>
        <v>1.568513206588799E-2</v>
      </c>
      <c r="Y88" s="10">
        <f t="shared" si="64"/>
        <v>1.6115048599047156E-2</v>
      </c>
      <c r="Z88" s="10">
        <f t="shared" si="64"/>
        <v>1.6634883576548354E-2</v>
      </c>
      <c r="AA88" s="10">
        <f t="shared" si="64"/>
        <v>1.7132887847603688E-2</v>
      </c>
      <c r="AB88" s="10">
        <f t="shared" si="64"/>
        <v>1.7556969992904667E-2</v>
      </c>
      <c r="AC88" s="10">
        <f t="shared" si="64"/>
        <v>1.7993073993146969E-2</v>
      </c>
      <c r="AD88" s="10">
        <f t="shared" si="64"/>
        <v>1.8428268549174766E-2</v>
      </c>
      <c r="AE88" s="10">
        <f t="shared" si="64"/>
        <v>1.8861662113961595E-2</v>
      </c>
      <c r="AF88" s="10">
        <f t="shared" si="64"/>
        <v>1.9268379501508528E-2</v>
      </c>
      <c r="AG88" s="10">
        <f t="shared" si="64"/>
        <v>1.9659262733040833E-2</v>
      </c>
      <c r="AH88" s="10">
        <f t="shared" si="64"/>
        <v>2.0063649262649697E-2</v>
      </c>
      <c r="AI88" s="10">
        <f t="shared" si="64"/>
        <v>2.0479711091802057E-2</v>
      </c>
      <c r="AJ88" s="10">
        <f t="shared" si="64"/>
        <v>2.0874786463699672E-2</v>
      </c>
      <c r="AK88" s="10">
        <f t="shared" si="64"/>
        <v>2.1263642356691776E-2</v>
      </c>
      <c r="AL88" s="10">
        <f t="shared" si="64"/>
        <v>2.1644233436888486E-2</v>
      </c>
      <c r="AM88" s="10">
        <f t="shared" si="64"/>
        <v>2.2016705117960736E-2</v>
      </c>
      <c r="AN88" s="10">
        <f t="shared" si="64"/>
        <v>2.2362245848822914E-2</v>
      </c>
      <c r="AO88" s="10">
        <f t="shared" si="64"/>
        <v>2.2678972576744606E-2</v>
      </c>
      <c r="AP88" s="10">
        <f t="shared" si="64"/>
        <v>2.298354194127886E-2</v>
      </c>
      <c r="AQ88" s="10">
        <f t="shared" si="64"/>
        <v>2.3256660632676261E-2</v>
      </c>
      <c r="AR88" s="10">
        <f t="shared" si="64"/>
        <v>2.3514511630724357E-2</v>
      </c>
      <c r="AS88" s="10">
        <f t="shared" si="64"/>
        <v>2.3776587763052453E-2</v>
      </c>
      <c r="AT88" s="10">
        <f t="shared" si="64"/>
        <v>2.4044375937580232E-2</v>
      </c>
      <c r="AU88" s="10">
        <f t="shared" si="64"/>
        <v>2.4316465408934927E-2</v>
      </c>
      <c r="AV88" s="10">
        <f t="shared" si="64"/>
        <v>2.4592901923801862E-2</v>
      </c>
      <c r="AW88" s="10">
        <f t="shared" si="64"/>
        <v>2.4874016635366515E-2</v>
      </c>
      <c r="AX88" s="10">
        <f t="shared" si="64"/>
        <v>2.5138735540812845E-2</v>
      </c>
      <c r="AY88" s="10">
        <f t="shared" si="64"/>
        <v>2.5408125899046854E-2</v>
      </c>
      <c r="AZ88" s="10">
        <f t="shared" si="64"/>
        <v>2.5682459129987088E-2</v>
      </c>
      <c r="BA88" s="10">
        <f t="shared" si="64"/>
        <v>2.596373549234594E-2</v>
      </c>
      <c r="BB88" s="10">
        <f t="shared" si="64"/>
        <v>2.6271422348913331E-2</v>
      </c>
      <c r="BC88" s="10">
        <f t="shared" si="64"/>
        <v>2.6585446803830202E-2</v>
      </c>
      <c r="BD88" s="10">
        <f t="shared" si="64"/>
        <v>2.6906246424305877E-2</v>
      </c>
      <c r="BE88" s="10">
        <f t="shared" si="64"/>
        <v>2.7233941027007387E-2</v>
      </c>
      <c r="BF88" s="10">
        <f t="shared" si="64"/>
        <v>2.7590654643766033E-2</v>
      </c>
      <c r="BG88" s="10">
        <f t="shared" si="64"/>
        <v>2.7957108913417652E-2</v>
      </c>
      <c r="BH88" s="10">
        <f t="shared" si="64"/>
        <v>2.833171955746653E-2</v>
      </c>
      <c r="BI88" s="10">
        <f t="shared" si="64"/>
        <v>2.8735849870974099E-2</v>
      </c>
    </row>
    <row r="89" spans="1:61"/>
    <row r="90" spans="1:61" hidden="1"/>
    <row r="91" spans="1:61" hidden="1"/>
    <row r="92" spans="1:61" hidden="1"/>
    <row r="93" spans="1:61" hidden="1"/>
    <row r="94" spans="1:61" hidden="1"/>
  </sheetData>
  <mergeCells count="8">
    <mergeCell ref="P5:R5"/>
    <mergeCell ref="T5:V5"/>
    <mergeCell ref="A34:A35"/>
    <mergeCell ref="B34:B35"/>
    <mergeCell ref="A86:A87"/>
    <mergeCell ref="A84:V85"/>
    <mergeCell ref="A53:V54"/>
    <mergeCell ref="A30:V31"/>
  </mergeCells>
  <hyperlinks>
    <hyperlink ref="A55" location="Indeksacja!A29" display="Nota metodologiczna"/>
  </hyperlink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113"/>
  <sheetViews>
    <sheetView workbookViewId="0">
      <pane xSplit="2" ySplit="2" topLeftCell="K3" activePane="bottomRight" state="frozen"/>
      <selection pane="topRight" activeCell="C1" sqref="C1"/>
      <selection pane="bottomLeft" activeCell="A3" sqref="A3"/>
      <selection pane="bottomRight" activeCell="K3" sqref="K3"/>
    </sheetView>
  </sheetViews>
  <sheetFormatPr defaultColWidth="0" defaultRowHeight="15" customHeight="1" zeroHeight="1" outlineLevelRow="1" outlineLevelCol="1"/>
  <cols>
    <col min="1" max="1" width="20.7109375" style="217" customWidth="1"/>
    <col min="2" max="2" width="9.140625" style="217" customWidth="1"/>
    <col min="3" max="10" width="1.7109375" style="217" hidden="1" customWidth="1" outlineLevel="1"/>
    <col min="11" max="11" width="11.7109375" style="217" customWidth="1" collapsed="1"/>
    <col min="12" max="61" width="11.7109375" style="217" customWidth="1"/>
    <col min="62" max="62" width="9.140625" style="217" customWidth="1"/>
    <col min="63" max="16384" width="9.140625" style="217" hidden="1"/>
  </cols>
  <sheetData>
    <row r="1" spans="1:61" ht="21">
      <c r="A1" s="4" t="s">
        <v>315</v>
      </c>
      <c r="B1" s="5"/>
      <c r="C1" s="88"/>
      <c r="D1" s="88"/>
      <c r="E1" s="88"/>
      <c r="F1" s="88"/>
      <c r="G1" s="88"/>
      <c r="H1" s="88"/>
      <c r="I1" s="88"/>
      <c r="J1" s="88"/>
      <c r="K1" s="88"/>
      <c r="L1" s="5"/>
      <c r="M1" s="88"/>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row>
    <row r="2" spans="1:61">
      <c r="A2" s="217" t="str">
        <f>Indeksacja!$A$2</f>
        <v>Dla roku bazowego 2024 właściwe do zastosowania w analizie są wartości kosztów jednostkowych określone według poziomu cenowego z końca roku poprzedniego, tzn. 2023.</v>
      </c>
    </row>
    <row r="3" spans="1:61" ht="15" customHeight="1"/>
    <row r="4" spans="1:61">
      <c r="A4" s="754" t="s">
        <v>717</v>
      </c>
      <c r="B4" s="754"/>
      <c r="C4" s="754"/>
      <c r="D4" s="754"/>
      <c r="E4" s="754"/>
      <c r="F4" s="754"/>
      <c r="G4" s="754"/>
      <c r="H4" s="754"/>
      <c r="I4" s="754"/>
      <c r="J4" s="754"/>
      <c r="K4" s="754"/>
      <c r="L4" s="754"/>
      <c r="M4" s="754"/>
      <c r="N4" s="754"/>
      <c r="O4" s="754"/>
      <c r="P4" s="754"/>
      <c r="Q4" s="754"/>
    </row>
    <row r="5" spans="1:61" s="668" customFormat="1">
      <c r="A5" s="754"/>
      <c r="B5" s="754"/>
      <c r="C5" s="754"/>
      <c r="D5" s="754"/>
      <c r="E5" s="754"/>
      <c r="F5" s="754"/>
      <c r="G5" s="754"/>
      <c r="H5" s="754"/>
      <c r="I5" s="754"/>
      <c r="J5" s="754"/>
      <c r="K5" s="754"/>
      <c r="L5" s="754"/>
      <c r="M5" s="754"/>
      <c r="N5" s="754"/>
      <c r="O5" s="754"/>
      <c r="P5" s="754"/>
      <c r="Q5" s="754"/>
    </row>
    <row r="6" spans="1:61" ht="15" hidden="1" customHeight="1" outlineLevel="1"/>
    <row r="7" spans="1:61" ht="15" hidden="1" customHeight="1" outlineLevel="1">
      <c r="A7" s="187" t="s">
        <v>726</v>
      </c>
    </row>
    <row r="8" spans="1:61" ht="15" hidden="1" customHeight="1" outlineLevel="1">
      <c r="A8" s="217" t="s">
        <v>382</v>
      </c>
    </row>
    <row r="9" spans="1:61" ht="15" hidden="1" customHeight="1" outlineLevel="1">
      <c r="A9" s="754" t="s">
        <v>718</v>
      </c>
      <c r="B9" s="754"/>
      <c r="C9" s="754"/>
      <c r="D9" s="754"/>
      <c r="E9" s="754"/>
      <c r="F9" s="754"/>
      <c r="G9" s="754"/>
      <c r="H9" s="754"/>
      <c r="I9" s="754"/>
      <c r="J9" s="754"/>
      <c r="K9" s="754"/>
      <c r="L9" s="754"/>
      <c r="M9" s="754"/>
      <c r="N9" s="754"/>
      <c r="O9" s="754"/>
      <c r="P9" s="754"/>
      <c r="Q9" s="754"/>
    </row>
    <row r="10" spans="1:61" s="672" customFormat="1" ht="15" hidden="1" customHeight="1" outlineLevel="1">
      <c r="A10" s="790"/>
      <c r="B10" s="790"/>
      <c r="C10" s="790"/>
      <c r="D10" s="790"/>
      <c r="E10" s="790"/>
      <c r="F10" s="790"/>
      <c r="G10" s="790"/>
      <c r="H10" s="790"/>
      <c r="I10" s="790"/>
      <c r="J10" s="790"/>
      <c r="K10" s="790"/>
      <c r="L10" s="790"/>
      <c r="M10" s="790"/>
      <c r="N10" s="790"/>
      <c r="O10" s="790"/>
      <c r="P10" s="790"/>
      <c r="Q10" s="790"/>
    </row>
    <row r="11" spans="1:61" ht="18" hidden="1" customHeight="1" outlineLevel="1">
      <c r="A11" s="846" t="s">
        <v>135</v>
      </c>
      <c r="B11" s="261"/>
      <c r="C11" s="261"/>
      <c r="D11" s="261"/>
      <c r="E11" s="261"/>
      <c r="F11" s="261"/>
      <c r="G11" s="261"/>
      <c r="H11" s="261"/>
      <c r="I11" s="261"/>
      <c r="J11" s="261"/>
      <c r="K11" s="261"/>
      <c r="L11" s="261"/>
      <c r="M11" s="261"/>
      <c r="N11" s="261"/>
      <c r="O11" s="261"/>
      <c r="P11" s="261" t="s">
        <v>136</v>
      </c>
      <c r="Q11" s="261" t="s">
        <v>132</v>
      </c>
      <c r="R11" s="261" t="s">
        <v>133</v>
      </c>
      <c r="S11" s="847" t="s">
        <v>131</v>
      </c>
      <c r="T11" s="848"/>
      <c r="U11" s="847" t="s">
        <v>134</v>
      </c>
      <c r="V11" s="849"/>
      <c r="W11" s="848"/>
      <c r="X11" s="261" t="s">
        <v>137</v>
      </c>
    </row>
    <row r="12" spans="1:61" ht="15" hidden="1" customHeight="1" outlineLevel="1">
      <c r="A12" s="846"/>
      <c r="B12" s="282"/>
      <c r="C12" s="282"/>
      <c r="D12" s="282"/>
      <c r="E12" s="282"/>
      <c r="F12" s="282"/>
      <c r="G12" s="282"/>
      <c r="H12" s="282"/>
      <c r="I12" s="282"/>
      <c r="J12" s="282"/>
      <c r="K12" s="282"/>
      <c r="L12" s="282"/>
      <c r="M12" s="282"/>
      <c r="N12" s="282"/>
      <c r="O12" s="282"/>
      <c r="P12" s="282"/>
      <c r="Q12" s="282"/>
      <c r="R12" s="282"/>
      <c r="S12" s="850" t="s">
        <v>138</v>
      </c>
      <c r="T12" s="851"/>
      <c r="U12" s="850" t="s">
        <v>138</v>
      </c>
      <c r="V12" s="852"/>
      <c r="W12" s="851"/>
      <c r="X12" s="282" t="s">
        <v>138</v>
      </c>
    </row>
    <row r="13" spans="1:61" ht="15" hidden="1" customHeight="1" outlineLevel="1">
      <c r="A13" s="846"/>
      <c r="B13" s="262"/>
      <c r="C13" s="262"/>
      <c r="D13" s="262"/>
      <c r="E13" s="262"/>
      <c r="F13" s="262"/>
      <c r="G13" s="262"/>
      <c r="H13" s="262"/>
      <c r="I13" s="262"/>
      <c r="J13" s="262"/>
      <c r="K13" s="262"/>
      <c r="L13" s="262"/>
      <c r="M13" s="262"/>
      <c r="N13" s="262"/>
      <c r="O13" s="262"/>
      <c r="P13" s="262"/>
      <c r="Q13" s="262"/>
      <c r="R13" s="262"/>
      <c r="S13" s="283" t="s">
        <v>139</v>
      </c>
      <c r="T13" s="284" t="s">
        <v>140</v>
      </c>
      <c r="U13" s="285" t="s">
        <v>141</v>
      </c>
      <c r="V13" s="286" t="s">
        <v>139</v>
      </c>
      <c r="W13" s="284" t="s">
        <v>140</v>
      </c>
      <c r="X13" s="287" t="s">
        <v>142</v>
      </c>
    </row>
    <row r="14" spans="1:61" ht="15" hidden="1" customHeight="1" outlineLevel="1">
      <c r="A14" s="288" t="s">
        <v>143</v>
      </c>
      <c r="B14" s="289"/>
      <c r="C14" s="289"/>
      <c r="D14" s="289"/>
      <c r="E14" s="289"/>
      <c r="F14" s="289"/>
      <c r="G14" s="289"/>
      <c r="H14" s="289"/>
      <c r="I14" s="289"/>
      <c r="J14" s="289"/>
      <c r="K14" s="678"/>
      <c r="L14" s="678"/>
      <c r="M14" s="678"/>
      <c r="N14" s="678"/>
      <c r="O14" s="678"/>
      <c r="P14" s="289">
        <v>17.5</v>
      </c>
      <c r="Q14" s="289">
        <v>1.2</v>
      </c>
      <c r="R14" s="289">
        <v>10.9</v>
      </c>
      <c r="S14" s="290">
        <v>21.3</v>
      </c>
      <c r="T14" s="291">
        <v>12.6</v>
      </c>
      <c r="U14" s="292">
        <v>381</v>
      </c>
      <c r="V14" s="293">
        <v>123</v>
      </c>
      <c r="W14" s="294">
        <v>70</v>
      </c>
      <c r="X14" s="289">
        <v>22.3</v>
      </c>
    </row>
    <row r="15" spans="1:61" ht="15" hidden="1" customHeight="1" outlineLevel="1">
      <c r="A15" s="295" t="s">
        <v>144</v>
      </c>
      <c r="B15" s="296"/>
      <c r="C15" s="296"/>
      <c r="D15" s="296"/>
      <c r="E15" s="296"/>
      <c r="F15" s="296"/>
      <c r="G15" s="296"/>
      <c r="H15" s="296"/>
      <c r="I15" s="296"/>
      <c r="J15" s="296"/>
      <c r="K15" s="679"/>
      <c r="L15" s="679"/>
      <c r="M15" s="679"/>
      <c r="N15" s="679"/>
      <c r="O15" s="679"/>
      <c r="P15" s="296">
        <v>14.4</v>
      </c>
      <c r="Q15" s="296">
        <v>0.7</v>
      </c>
      <c r="R15" s="296">
        <v>8.1999999999999993</v>
      </c>
      <c r="S15" s="297">
        <v>14.7</v>
      </c>
      <c r="T15" s="298">
        <v>8.9</v>
      </c>
      <c r="U15" s="299">
        <v>282</v>
      </c>
      <c r="V15" s="300">
        <v>91</v>
      </c>
      <c r="W15" s="301">
        <v>52</v>
      </c>
      <c r="X15" s="296">
        <v>5.2</v>
      </c>
    </row>
    <row r="16" spans="1:61" s="540" customFormat="1" ht="15" hidden="1" customHeight="1" outlineLevel="1">
      <c r="A16" s="35" t="s">
        <v>733</v>
      </c>
      <c r="B16" s="541"/>
      <c r="C16" s="541"/>
      <c r="D16" s="541"/>
      <c r="E16" s="541"/>
      <c r="F16" s="541"/>
      <c r="G16" s="541"/>
      <c r="H16" s="541"/>
      <c r="I16" s="541"/>
      <c r="J16" s="541"/>
      <c r="K16" s="541"/>
      <c r="L16" s="541"/>
      <c r="M16" s="541"/>
      <c r="N16" s="541"/>
      <c r="O16" s="541"/>
      <c r="P16" s="541"/>
      <c r="Q16" s="541"/>
      <c r="R16" s="541"/>
      <c r="S16" s="541"/>
      <c r="T16" s="541"/>
      <c r="U16" s="542"/>
      <c r="V16" s="542"/>
      <c r="W16" s="542"/>
      <c r="X16" s="541"/>
    </row>
    <row r="17" spans="1:21" ht="15" hidden="1" customHeight="1" outlineLevel="1">
      <c r="A17" s="302" t="s">
        <v>720</v>
      </c>
    </row>
    <row r="18" spans="1:21" ht="18" hidden="1" customHeight="1" outlineLevel="1">
      <c r="A18" s="302" t="s">
        <v>719</v>
      </c>
    </row>
    <row r="19" spans="1:21" ht="15" hidden="1" customHeight="1" outlineLevel="1">
      <c r="A19" s="754" t="s">
        <v>721</v>
      </c>
      <c r="B19" s="754"/>
      <c r="C19" s="754"/>
      <c r="D19" s="754"/>
      <c r="E19" s="754"/>
      <c r="F19" s="754"/>
      <c r="G19" s="754"/>
      <c r="H19" s="754"/>
      <c r="I19" s="754"/>
      <c r="J19" s="754"/>
      <c r="K19" s="754"/>
      <c r="L19" s="754"/>
      <c r="M19" s="754"/>
      <c r="N19" s="754"/>
      <c r="O19" s="754"/>
      <c r="P19" s="754"/>
      <c r="Q19" s="754"/>
    </row>
    <row r="20" spans="1:21" s="672" customFormat="1" ht="15" hidden="1" customHeight="1" outlineLevel="1">
      <c r="A20" s="754"/>
      <c r="B20" s="754"/>
      <c r="C20" s="754"/>
      <c r="D20" s="754"/>
      <c r="E20" s="754"/>
      <c r="F20" s="754"/>
      <c r="G20" s="754"/>
      <c r="H20" s="754"/>
      <c r="I20" s="754"/>
      <c r="J20" s="754"/>
      <c r="K20" s="754"/>
      <c r="L20" s="754"/>
      <c r="M20" s="754"/>
      <c r="N20" s="754"/>
      <c r="O20" s="754"/>
      <c r="P20" s="754"/>
      <c r="Q20" s="754"/>
    </row>
    <row r="21" spans="1:21" ht="15" hidden="1" customHeight="1" outlineLevel="1">
      <c r="A21" s="217" t="s">
        <v>145</v>
      </c>
    </row>
    <row r="22" spans="1:21" ht="15" hidden="1" customHeight="1" outlineLevel="1">
      <c r="A22" s="754" t="s">
        <v>722</v>
      </c>
      <c r="B22" s="754"/>
      <c r="C22" s="754"/>
      <c r="D22" s="754"/>
      <c r="E22" s="754"/>
      <c r="F22" s="754"/>
      <c r="G22" s="754"/>
      <c r="H22" s="754"/>
      <c r="I22" s="754"/>
      <c r="J22" s="754"/>
      <c r="K22" s="754"/>
      <c r="L22" s="754"/>
      <c r="M22" s="754"/>
      <c r="N22" s="754"/>
      <c r="O22" s="754"/>
      <c r="P22" s="754"/>
      <c r="Q22" s="754"/>
    </row>
    <row r="23" spans="1:21" s="672" customFormat="1" ht="15" hidden="1" customHeight="1" outlineLevel="1">
      <c r="A23" s="754"/>
      <c r="B23" s="754"/>
      <c r="C23" s="754"/>
      <c r="D23" s="754"/>
      <c r="E23" s="754"/>
      <c r="F23" s="754"/>
      <c r="G23" s="754"/>
      <c r="H23" s="754"/>
      <c r="I23" s="754"/>
      <c r="J23" s="754"/>
      <c r="K23" s="754"/>
      <c r="L23" s="754"/>
      <c r="M23" s="754"/>
      <c r="N23" s="754"/>
      <c r="O23" s="754"/>
      <c r="P23" s="754"/>
      <c r="Q23" s="754"/>
    </row>
    <row r="24" spans="1:21" s="672" customFormat="1" ht="15" hidden="1" customHeight="1" outlineLevel="1">
      <c r="A24" s="754"/>
      <c r="B24" s="754"/>
      <c r="C24" s="754"/>
      <c r="D24" s="754"/>
      <c r="E24" s="754"/>
      <c r="F24" s="754"/>
      <c r="G24" s="754"/>
      <c r="H24" s="754"/>
      <c r="I24" s="754"/>
      <c r="J24" s="754"/>
      <c r="K24" s="754"/>
      <c r="L24" s="754"/>
      <c r="M24" s="754"/>
      <c r="N24" s="754"/>
      <c r="O24" s="754"/>
      <c r="P24" s="754"/>
      <c r="Q24" s="754"/>
    </row>
    <row r="25" spans="1:21" ht="15" hidden="1" customHeight="1" outlineLevel="1"/>
    <row r="26" spans="1:21" s="672" customFormat="1" ht="15" hidden="1" customHeight="1" outlineLevel="1">
      <c r="A26" s="754" t="s">
        <v>727</v>
      </c>
      <c r="B26" s="754"/>
      <c r="C26" s="754"/>
      <c r="D26" s="754"/>
      <c r="E26" s="754"/>
      <c r="F26" s="754"/>
      <c r="G26" s="754"/>
      <c r="H26" s="754"/>
      <c r="I26" s="754"/>
      <c r="J26" s="754"/>
      <c r="K26" s="754"/>
      <c r="L26" s="754"/>
      <c r="M26" s="754"/>
      <c r="N26" s="754"/>
      <c r="O26" s="754"/>
      <c r="P26" s="754"/>
      <c r="Q26" s="754"/>
    </row>
    <row r="27" spans="1:21" s="672" customFormat="1" ht="15" hidden="1" customHeight="1" outlineLevel="1">
      <c r="A27" s="754"/>
      <c r="B27" s="754"/>
      <c r="C27" s="754"/>
      <c r="D27" s="754"/>
      <c r="E27" s="754"/>
      <c r="F27" s="754"/>
      <c r="G27" s="754"/>
      <c r="H27" s="754"/>
      <c r="I27" s="754"/>
      <c r="J27" s="754"/>
      <c r="K27" s="754"/>
      <c r="L27" s="754"/>
      <c r="M27" s="754"/>
      <c r="N27" s="754"/>
      <c r="O27" s="754"/>
      <c r="P27" s="754"/>
      <c r="Q27" s="754"/>
    </row>
    <row r="28" spans="1:21" s="672" customFormat="1" ht="15" hidden="1" customHeight="1" outlineLevel="1">
      <c r="A28" s="673" t="s">
        <v>135</v>
      </c>
      <c r="B28" s="675"/>
      <c r="C28" s="675"/>
      <c r="D28" s="675"/>
      <c r="E28" s="675"/>
      <c r="F28" s="675"/>
      <c r="G28" s="675"/>
      <c r="H28" s="675"/>
      <c r="I28" s="675"/>
      <c r="J28" s="675"/>
      <c r="K28" s="675"/>
      <c r="L28" s="675"/>
      <c r="M28" s="675"/>
      <c r="N28" s="675"/>
      <c r="O28" s="675"/>
      <c r="P28" s="675" t="s">
        <v>136</v>
      </c>
      <c r="Q28" s="675" t="s">
        <v>132</v>
      </c>
      <c r="R28" s="675" t="s">
        <v>133</v>
      </c>
      <c r="S28" s="675" t="s">
        <v>131</v>
      </c>
      <c r="T28" s="675" t="s">
        <v>134</v>
      </c>
      <c r="U28" s="675" t="s">
        <v>137</v>
      </c>
    </row>
    <row r="29" spans="1:21" s="672" customFormat="1" ht="15" hidden="1" customHeight="1" outlineLevel="1">
      <c r="A29" s="676" t="s">
        <v>728</v>
      </c>
      <c r="B29" s="677"/>
      <c r="C29" s="677"/>
      <c r="D29" s="677"/>
      <c r="E29" s="677"/>
      <c r="F29" s="677"/>
      <c r="G29" s="677"/>
      <c r="H29" s="677"/>
      <c r="I29" s="677"/>
      <c r="J29" s="677"/>
      <c r="K29" s="680"/>
      <c r="L29" s="680"/>
      <c r="M29" s="680"/>
      <c r="N29" s="680"/>
      <c r="O29" s="680"/>
      <c r="P29" s="677">
        <v>0</v>
      </c>
      <c r="Q29" s="677">
        <v>0.4</v>
      </c>
      <c r="R29" s="677">
        <v>3.5</v>
      </c>
      <c r="S29" s="677">
        <v>3.8</v>
      </c>
      <c r="T29" s="677">
        <v>7.2</v>
      </c>
      <c r="U29" s="677">
        <v>4.0999999999999996</v>
      </c>
    </row>
    <row r="30" spans="1:21" s="672" customFormat="1" ht="15" hidden="1" customHeight="1" outlineLevel="1">
      <c r="A30" s="676" t="s">
        <v>729</v>
      </c>
      <c r="B30" s="677"/>
      <c r="C30" s="677"/>
      <c r="D30" s="677"/>
      <c r="E30" s="677"/>
      <c r="F30" s="677"/>
      <c r="G30" s="677"/>
      <c r="H30" s="677"/>
      <c r="I30" s="677"/>
      <c r="J30" s="677"/>
      <c r="K30" s="680"/>
      <c r="L30" s="680"/>
      <c r="M30" s="680"/>
      <c r="N30" s="680"/>
      <c r="O30" s="680"/>
      <c r="P30" s="677">
        <v>0</v>
      </c>
      <c r="Q30" s="677">
        <v>1</v>
      </c>
      <c r="R30" s="677">
        <v>6.9</v>
      </c>
      <c r="S30" s="677">
        <v>7.9</v>
      </c>
      <c r="T30" s="677">
        <v>18.3</v>
      </c>
      <c r="U30" s="677">
        <v>10.4</v>
      </c>
    </row>
    <row r="31" spans="1:21" s="672" customFormat="1" ht="15" hidden="1" customHeight="1" outlineLevel="1">
      <c r="A31" s="676" t="s">
        <v>730</v>
      </c>
      <c r="B31" s="677"/>
      <c r="C31" s="677"/>
      <c r="D31" s="677"/>
      <c r="E31" s="677"/>
      <c r="F31" s="677"/>
      <c r="G31" s="677"/>
      <c r="H31" s="677"/>
      <c r="I31" s="677"/>
      <c r="J31" s="677"/>
      <c r="K31" s="680"/>
      <c r="L31" s="680"/>
      <c r="M31" s="680"/>
      <c r="N31" s="680"/>
      <c r="O31" s="680"/>
      <c r="P31" s="677">
        <v>0</v>
      </c>
      <c r="Q31" s="677">
        <v>0.2</v>
      </c>
      <c r="R31" s="677">
        <v>11.1</v>
      </c>
      <c r="S31" s="677">
        <v>7.8</v>
      </c>
      <c r="T31" s="677">
        <v>30</v>
      </c>
      <c r="U31" s="677">
        <v>17.100000000000001</v>
      </c>
    </row>
    <row r="32" spans="1:21" s="672" customFormat="1" ht="15" hidden="1" customHeight="1" outlineLevel="1">
      <c r="A32" s="676" t="s">
        <v>731</v>
      </c>
      <c r="B32" s="677"/>
      <c r="C32" s="677"/>
      <c r="D32" s="677"/>
      <c r="E32" s="677"/>
      <c r="F32" s="677"/>
      <c r="G32" s="677"/>
      <c r="H32" s="677"/>
      <c r="I32" s="677"/>
      <c r="J32" s="677"/>
      <c r="K32" s="680"/>
      <c r="L32" s="680"/>
      <c r="M32" s="680"/>
      <c r="N32" s="680"/>
      <c r="O32" s="680"/>
      <c r="P32" s="677">
        <v>0</v>
      </c>
      <c r="Q32" s="677">
        <v>0.5</v>
      </c>
      <c r="R32" s="677">
        <v>9.1999999999999993</v>
      </c>
      <c r="S32" s="677">
        <v>3</v>
      </c>
      <c r="T32" s="677">
        <v>24.6</v>
      </c>
      <c r="U32" s="677">
        <v>14</v>
      </c>
    </row>
    <row r="33" spans="1:21" s="672" customFormat="1" ht="15" hidden="1" customHeight="1" outlineLevel="1">
      <c r="A33" s="676" t="s">
        <v>732</v>
      </c>
      <c r="B33" s="677"/>
      <c r="C33" s="677"/>
      <c r="D33" s="677"/>
      <c r="E33" s="677"/>
      <c r="F33" s="677"/>
      <c r="G33" s="677"/>
      <c r="H33" s="677"/>
      <c r="I33" s="677"/>
      <c r="J33" s="677"/>
      <c r="K33" s="680"/>
      <c r="L33" s="680"/>
      <c r="M33" s="680"/>
      <c r="N33" s="680"/>
      <c r="O33" s="680"/>
      <c r="P33" s="677">
        <v>0</v>
      </c>
      <c r="Q33" s="677">
        <v>2.2999999999999998</v>
      </c>
      <c r="R33" s="677">
        <v>10.5</v>
      </c>
      <c r="S33" s="677">
        <v>10.7</v>
      </c>
      <c r="T33" s="677">
        <v>34.4</v>
      </c>
      <c r="U33" s="677">
        <v>19.7</v>
      </c>
    </row>
    <row r="34" spans="1:21" s="672" customFormat="1" ht="15" hidden="1" customHeight="1" outlineLevel="1"/>
    <row r="35" spans="1:21" s="350" customFormat="1" ht="15" hidden="1" customHeight="1" outlineLevel="1">
      <c r="A35" s="350" t="s">
        <v>228</v>
      </c>
      <c r="B35" s="146">
        <f>10^3</f>
        <v>1000</v>
      </c>
    </row>
    <row r="36" spans="1:21" s="350" customFormat="1" ht="15" hidden="1" customHeight="1" outlineLevel="1"/>
    <row r="37" spans="1:21" s="350" customFormat="1" ht="15" hidden="1" customHeight="1" outlineLevel="1">
      <c r="A37" s="9" t="s">
        <v>2</v>
      </c>
      <c r="B37" s="6"/>
      <c r="C37" s="6"/>
      <c r="D37" s="6"/>
      <c r="E37" s="6"/>
      <c r="F37" s="6"/>
      <c r="G37" s="6"/>
      <c r="H37" s="6"/>
      <c r="I37" s="6"/>
      <c r="J37" s="6"/>
      <c r="K37" s="6"/>
      <c r="L37" s="6"/>
      <c r="M37" s="6"/>
      <c r="N37" s="6"/>
      <c r="O37" s="6"/>
      <c r="P37" s="6"/>
      <c r="Q37" s="6">
        <v>2016</v>
      </c>
    </row>
    <row r="38" spans="1:21" s="350" customFormat="1" ht="15" hidden="1" customHeight="1" outlineLevel="1">
      <c r="A38" s="8" t="s">
        <v>3</v>
      </c>
      <c r="B38" s="12"/>
      <c r="C38" s="12"/>
      <c r="D38" s="12"/>
      <c r="E38" s="12"/>
      <c r="F38" s="12"/>
      <c r="G38" s="12"/>
      <c r="H38" s="12"/>
      <c r="I38" s="12"/>
      <c r="J38" s="12"/>
      <c r="K38" s="12"/>
      <c r="L38" s="12"/>
      <c r="M38" s="12"/>
      <c r="N38" s="12"/>
      <c r="O38" s="12"/>
      <c r="P38" s="12"/>
      <c r="Q38" s="11">
        <f>Indeksacja!$Q$41</f>
        <v>4.3632</v>
      </c>
    </row>
    <row r="39" spans="1:21" s="350" customFormat="1" ht="15" hidden="1" customHeight="1" outlineLevel="1">
      <c r="A39" s="35" t="str">
        <f>Indeksacja!$A$42</f>
        <v>Źródło: ECB, http://sdw.ecb.europa.eu/quickview.do?SERIES_KEY=120.EXR.A.PLN.EUR.SP00.A</v>
      </c>
    </row>
    <row r="40" spans="1:21" s="350" customFormat="1" ht="15" hidden="1" customHeight="1" outlineLevel="1"/>
    <row r="41" spans="1:21" s="471" customFormat="1" ht="15" hidden="1" customHeight="1" outlineLevel="1">
      <c r="A41" s="9" t="s">
        <v>565</v>
      </c>
      <c r="B41" s="6"/>
      <c r="C41" s="6"/>
      <c r="D41" s="6"/>
      <c r="E41" s="6"/>
      <c r="F41" s="6"/>
      <c r="G41" s="6"/>
      <c r="H41" s="6"/>
      <c r="I41" s="6"/>
      <c r="J41" s="6"/>
      <c r="K41" s="6"/>
      <c r="L41" s="6"/>
      <c r="M41" s="6"/>
      <c r="N41" s="6"/>
      <c r="O41" s="6"/>
      <c r="P41" s="6"/>
      <c r="Q41" s="6">
        <v>2016</v>
      </c>
    </row>
    <row r="42" spans="1:21" s="471" customFormat="1" ht="15" hidden="1" customHeight="1" outlineLevel="1">
      <c r="A42" s="8" t="s">
        <v>62</v>
      </c>
      <c r="B42" s="484"/>
      <c r="C42" s="484"/>
      <c r="D42" s="484"/>
      <c r="E42" s="484"/>
      <c r="F42" s="484"/>
      <c r="G42" s="484"/>
      <c r="H42" s="484"/>
      <c r="I42" s="484"/>
      <c r="J42" s="484"/>
      <c r="K42" s="484"/>
      <c r="L42" s="484"/>
      <c r="M42" s="484"/>
      <c r="N42" s="484"/>
      <c r="O42" s="484"/>
      <c r="P42" s="484"/>
      <c r="Q42" s="470">
        <f>Indeksacja!$Q$44</f>
        <v>68.2</v>
      </c>
    </row>
    <row r="43" spans="1:21" s="471" customFormat="1" ht="15" hidden="1" customHeight="1" outlineLevel="1">
      <c r="A43" s="35" t="str">
        <f>Indeksacja!$A$45</f>
        <v>Źródło: Eurostat, https://ec.europa.eu/eurostat/data/database Main GDP aggregates per capita [nama_10_pc] (aktualizacja 28.01.2022)</v>
      </c>
    </row>
    <row r="44" spans="1:21" s="592" customFormat="1" ht="15" hidden="1" customHeight="1" outlineLevel="1">
      <c r="A44" s="76"/>
    </row>
    <row r="45" spans="1:21" s="592" customFormat="1" ht="15" hidden="1" customHeight="1" outlineLevel="1">
      <c r="A45" s="774" t="str">
        <f>'VoT czas ładunki'!$A$41</f>
        <v xml:space="preserve">Wyjaśnienie w sprawie przeliczenia wyjściowych wartości kosztów jednostkowych z zastosowaniem kursu walutowego PLN/EUR oraz PKB Polski per capita w jednostkach siły nabywczej (PPS): </v>
      </c>
      <c r="B45" s="774"/>
      <c r="C45" s="774"/>
      <c r="D45" s="774"/>
      <c r="E45" s="774"/>
      <c r="F45" s="774"/>
      <c r="G45" s="774"/>
      <c r="H45" s="774"/>
      <c r="I45" s="774"/>
      <c r="J45" s="774"/>
      <c r="K45" s="774"/>
      <c r="L45" s="774"/>
      <c r="M45" s="774"/>
      <c r="N45" s="774"/>
      <c r="O45" s="774"/>
      <c r="P45" s="774"/>
      <c r="Q45" s="774"/>
    </row>
    <row r="46" spans="1:21" s="672" customFormat="1" ht="15" hidden="1" customHeight="1" outlineLevel="1">
      <c r="A46" s="774"/>
      <c r="B46" s="774"/>
      <c r="C46" s="774"/>
      <c r="D46" s="774"/>
      <c r="E46" s="774"/>
      <c r="F46" s="774"/>
      <c r="G46" s="774"/>
      <c r="H46" s="774"/>
      <c r="I46" s="774"/>
      <c r="J46" s="774"/>
      <c r="K46" s="774"/>
      <c r="L46" s="774"/>
      <c r="M46" s="774"/>
      <c r="N46" s="774"/>
      <c r="O46" s="774"/>
      <c r="P46" s="774"/>
      <c r="Q46" s="774"/>
    </row>
    <row r="47" spans="1:21" s="592" customFormat="1" ht="15" hidden="1" customHeight="1" outlineLevel="1">
      <c r="A47" s="517" t="s">
        <v>511</v>
      </c>
    </row>
    <row r="48" spans="1:21" s="471" customFormat="1" ht="15" customHeight="1" collapsed="1"/>
    <row r="49" spans="1:61">
      <c r="A49" s="853" t="s">
        <v>917</v>
      </c>
      <c r="B49" s="853"/>
      <c r="C49" s="853"/>
      <c r="D49" s="853"/>
      <c r="E49" s="853"/>
      <c r="F49" s="853"/>
      <c r="G49" s="853"/>
      <c r="H49" s="853"/>
      <c r="I49" s="853"/>
      <c r="J49" s="853"/>
      <c r="K49" s="853"/>
      <c r="L49" s="853"/>
      <c r="M49" s="853"/>
      <c r="N49" s="853"/>
      <c r="O49" s="853"/>
      <c r="P49" s="853"/>
      <c r="Q49" s="853"/>
    </row>
    <row r="50" spans="1:61" s="668" customFormat="1">
      <c r="A50" s="830"/>
      <c r="B50" s="830"/>
      <c r="C50" s="830"/>
      <c r="D50" s="830"/>
      <c r="E50" s="830"/>
      <c r="F50" s="830"/>
      <c r="G50" s="830"/>
      <c r="H50" s="830"/>
      <c r="I50" s="830"/>
      <c r="J50" s="830"/>
      <c r="K50" s="830"/>
      <c r="L50" s="830"/>
      <c r="M50" s="830"/>
      <c r="N50" s="830"/>
      <c r="O50" s="830"/>
      <c r="P50" s="830"/>
      <c r="Q50" s="830"/>
    </row>
    <row r="51" spans="1:61" s="515" customFormat="1">
      <c r="A51" s="844"/>
      <c r="B51" s="663" t="s">
        <v>309</v>
      </c>
      <c r="C51" s="649"/>
      <c r="D51" s="649"/>
      <c r="E51" s="649"/>
      <c r="F51" s="649"/>
      <c r="G51" s="649"/>
      <c r="H51" s="649"/>
      <c r="I51" s="649"/>
      <c r="J51" s="649"/>
      <c r="K51" s="649"/>
      <c r="L51" s="649"/>
      <c r="M51" s="649"/>
      <c r="N51" s="649"/>
      <c r="O51" s="649"/>
      <c r="P51" s="649"/>
      <c r="Q51" s="6"/>
      <c r="R51" s="6"/>
      <c r="S51" s="6"/>
      <c r="T51" s="6">
        <v>2020</v>
      </c>
      <c r="U51" s="6">
        <f>T51+1</f>
        <v>2021</v>
      </c>
      <c r="V51" s="6">
        <f t="shared" ref="V51:BI51" si="0">U51+1</f>
        <v>2022</v>
      </c>
      <c r="W51" s="6">
        <f t="shared" si="0"/>
        <v>2023</v>
      </c>
      <c r="X51" s="6">
        <f t="shared" si="0"/>
        <v>2024</v>
      </c>
      <c r="Y51" s="6">
        <f t="shared" si="0"/>
        <v>2025</v>
      </c>
      <c r="Z51" s="6">
        <f t="shared" si="0"/>
        <v>2026</v>
      </c>
      <c r="AA51" s="6">
        <f t="shared" si="0"/>
        <v>2027</v>
      </c>
      <c r="AB51" s="6">
        <f t="shared" si="0"/>
        <v>2028</v>
      </c>
      <c r="AC51" s="6">
        <f t="shared" si="0"/>
        <v>2029</v>
      </c>
      <c r="AD51" s="6">
        <f t="shared" si="0"/>
        <v>2030</v>
      </c>
      <c r="AE51" s="6">
        <f t="shared" si="0"/>
        <v>2031</v>
      </c>
      <c r="AF51" s="6">
        <f t="shared" si="0"/>
        <v>2032</v>
      </c>
      <c r="AG51" s="6">
        <f t="shared" si="0"/>
        <v>2033</v>
      </c>
      <c r="AH51" s="6">
        <f t="shared" si="0"/>
        <v>2034</v>
      </c>
      <c r="AI51" s="6">
        <f t="shared" si="0"/>
        <v>2035</v>
      </c>
      <c r="AJ51" s="6">
        <f t="shared" si="0"/>
        <v>2036</v>
      </c>
      <c r="AK51" s="6">
        <f t="shared" si="0"/>
        <v>2037</v>
      </c>
      <c r="AL51" s="6">
        <f t="shared" si="0"/>
        <v>2038</v>
      </c>
      <c r="AM51" s="6">
        <f t="shared" si="0"/>
        <v>2039</v>
      </c>
      <c r="AN51" s="6">
        <f t="shared" si="0"/>
        <v>2040</v>
      </c>
      <c r="AO51" s="6">
        <f t="shared" si="0"/>
        <v>2041</v>
      </c>
      <c r="AP51" s="6">
        <f t="shared" si="0"/>
        <v>2042</v>
      </c>
      <c r="AQ51" s="6">
        <f t="shared" si="0"/>
        <v>2043</v>
      </c>
      <c r="AR51" s="6">
        <f t="shared" si="0"/>
        <v>2044</v>
      </c>
      <c r="AS51" s="6">
        <f t="shared" si="0"/>
        <v>2045</v>
      </c>
      <c r="AT51" s="6">
        <f t="shared" si="0"/>
        <v>2046</v>
      </c>
      <c r="AU51" s="6">
        <f t="shared" si="0"/>
        <v>2047</v>
      </c>
      <c r="AV51" s="6">
        <f t="shared" si="0"/>
        <v>2048</v>
      </c>
      <c r="AW51" s="6">
        <f t="shared" si="0"/>
        <v>2049</v>
      </c>
      <c r="AX51" s="6">
        <f t="shared" si="0"/>
        <v>2050</v>
      </c>
      <c r="AY51" s="6">
        <f t="shared" si="0"/>
        <v>2051</v>
      </c>
      <c r="AZ51" s="6">
        <f t="shared" si="0"/>
        <v>2052</v>
      </c>
      <c r="BA51" s="6">
        <f t="shared" si="0"/>
        <v>2053</v>
      </c>
      <c r="BB51" s="6">
        <f t="shared" si="0"/>
        <v>2054</v>
      </c>
      <c r="BC51" s="6">
        <f t="shared" si="0"/>
        <v>2055</v>
      </c>
      <c r="BD51" s="6">
        <f t="shared" si="0"/>
        <v>2056</v>
      </c>
      <c r="BE51" s="6">
        <f t="shared" si="0"/>
        <v>2057</v>
      </c>
      <c r="BF51" s="6">
        <f t="shared" si="0"/>
        <v>2058</v>
      </c>
      <c r="BG51" s="6">
        <f t="shared" si="0"/>
        <v>2059</v>
      </c>
      <c r="BH51" s="6">
        <f t="shared" si="0"/>
        <v>2060</v>
      </c>
      <c r="BI51" s="6">
        <f t="shared" si="0"/>
        <v>2061</v>
      </c>
    </row>
    <row r="52" spans="1:61">
      <c r="A52" s="845"/>
      <c r="B52" s="664" t="s">
        <v>510</v>
      </c>
      <c r="C52" s="647"/>
      <c r="D52" s="647"/>
      <c r="E52" s="647"/>
      <c r="F52" s="647"/>
      <c r="G52" s="647"/>
      <c r="H52" s="647"/>
      <c r="I52" s="647"/>
      <c r="J52" s="647"/>
      <c r="K52" s="647"/>
      <c r="L52" s="647"/>
      <c r="M52" s="647"/>
      <c r="N52" s="647"/>
      <c r="O52" s="647"/>
      <c r="P52" s="647"/>
      <c r="Q52" s="661">
        <f>DATE(2016,12,31)</f>
        <v>42735</v>
      </c>
      <c r="R52" s="661">
        <f>DATE(YEAR(Q52+1),12,31)</f>
        <v>43100</v>
      </c>
      <c r="S52" s="661">
        <f t="shared" ref="S52" si="1">DATE(YEAR(R52+1),12,31)</f>
        <v>43465</v>
      </c>
      <c r="T52" s="661">
        <f>DATE(YEAR(S52+1),12,31)</f>
        <v>43830</v>
      </c>
      <c r="U52" s="661">
        <f t="shared" ref="U52:BI52" si="2">DATE(YEAR(T52+1),12,31)</f>
        <v>44196</v>
      </c>
      <c r="V52" s="661">
        <f t="shared" si="2"/>
        <v>44561</v>
      </c>
      <c r="W52" s="661">
        <f t="shared" si="2"/>
        <v>44926</v>
      </c>
      <c r="X52" s="661">
        <f t="shared" si="2"/>
        <v>45291</v>
      </c>
      <c r="Y52" s="661">
        <f t="shared" si="2"/>
        <v>45657</v>
      </c>
      <c r="Z52" s="661">
        <f t="shared" si="2"/>
        <v>46022</v>
      </c>
      <c r="AA52" s="661">
        <f t="shared" si="2"/>
        <v>46387</v>
      </c>
      <c r="AB52" s="661">
        <f t="shared" si="2"/>
        <v>46752</v>
      </c>
      <c r="AC52" s="661">
        <f t="shared" si="2"/>
        <v>47118</v>
      </c>
      <c r="AD52" s="661">
        <f t="shared" si="2"/>
        <v>47483</v>
      </c>
      <c r="AE52" s="661">
        <f t="shared" si="2"/>
        <v>47848</v>
      </c>
      <c r="AF52" s="661">
        <f t="shared" si="2"/>
        <v>48213</v>
      </c>
      <c r="AG52" s="661">
        <f t="shared" si="2"/>
        <v>48579</v>
      </c>
      <c r="AH52" s="661">
        <f t="shared" si="2"/>
        <v>48944</v>
      </c>
      <c r="AI52" s="661">
        <f t="shared" si="2"/>
        <v>49309</v>
      </c>
      <c r="AJ52" s="661">
        <f t="shared" si="2"/>
        <v>49674</v>
      </c>
      <c r="AK52" s="661">
        <f t="shared" si="2"/>
        <v>50040</v>
      </c>
      <c r="AL52" s="661">
        <f t="shared" si="2"/>
        <v>50405</v>
      </c>
      <c r="AM52" s="661">
        <f t="shared" si="2"/>
        <v>50770</v>
      </c>
      <c r="AN52" s="661">
        <f t="shared" si="2"/>
        <v>51135</v>
      </c>
      <c r="AO52" s="661">
        <f t="shared" si="2"/>
        <v>51501</v>
      </c>
      <c r="AP52" s="661">
        <f t="shared" si="2"/>
        <v>51866</v>
      </c>
      <c r="AQ52" s="661">
        <f t="shared" si="2"/>
        <v>52231</v>
      </c>
      <c r="AR52" s="661">
        <f t="shared" si="2"/>
        <v>52596</v>
      </c>
      <c r="AS52" s="661">
        <f t="shared" si="2"/>
        <v>52962</v>
      </c>
      <c r="AT52" s="661">
        <f t="shared" si="2"/>
        <v>53327</v>
      </c>
      <c r="AU52" s="661">
        <f t="shared" si="2"/>
        <v>53692</v>
      </c>
      <c r="AV52" s="661">
        <f t="shared" si="2"/>
        <v>54057</v>
      </c>
      <c r="AW52" s="661">
        <f t="shared" si="2"/>
        <v>54423</v>
      </c>
      <c r="AX52" s="661">
        <f t="shared" si="2"/>
        <v>54788</v>
      </c>
      <c r="AY52" s="661">
        <f t="shared" si="2"/>
        <v>55153</v>
      </c>
      <c r="AZ52" s="661">
        <f t="shared" si="2"/>
        <v>55518</v>
      </c>
      <c r="BA52" s="661">
        <f t="shared" si="2"/>
        <v>55884</v>
      </c>
      <c r="BB52" s="661">
        <f t="shared" si="2"/>
        <v>56249</v>
      </c>
      <c r="BC52" s="661">
        <f t="shared" si="2"/>
        <v>56614</v>
      </c>
      <c r="BD52" s="661">
        <f t="shared" si="2"/>
        <v>56979</v>
      </c>
      <c r="BE52" s="661">
        <f t="shared" si="2"/>
        <v>57345</v>
      </c>
      <c r="BF52" s="661">
        <f t="shared" si="2"/>
        <v>57710</v>
      </c>
      <c r="BG52" s="661">
        <f t="shared" si="2"/>
        <v>58075</v>
      </c>
      <c r="BH52" s="661">
        <f t="shared" si="2"/>
        <v>58440</v>
      </c>
      <c r="BI52" s="661">
        <f t="shared" si="2"/>
        <v>58806</v>
      </c>
    </row>
    <row r="53" spans="1:61" ht="18">
      <c r="A53" s="265" t="s">
        <v>136</v>
      </c>
      <c r="B53" s="266"/>
      <c r="C53" s="264"/>
      <c r="D53" s="264"/>
      <c r="E53" s="264"/>
      <c r="F53" s="264"/>
      <c r="G53" s="264"/>
      <c r="H53" s="264"/>
      <c r="I53" s="264"/>
      <c r="J53" s="264"/>
      <c r="K53" s="264"/>
      <c r="L53" s="264"/>
      <c r="M53" s="264"/>
      <c r="N53" s="264"/>
      <c r="O53" s="264"/>
      <c r="P53" s="264"/>
      <c r="Q53" s="267">
        <f>P15*$B$35*$Q$38*$Q$42/100</f>
        <v>42850.114560000002</v>
      </c>
      <c r="R53" s="268">
        <f>Q53*Indeksacja!R$61</f>
        <v>45490.339379801029</v>
      </c>
      <c r="S53" s="263">
        <f>R53*Indeksacja!S$61</f>
        <v>48400.960985198544</v>
      </c>
      <c r="T53" s="263">
        <f>S53*Indeksacja!T$61</f>
        <v>51298.017235837062</v>
      </c>
      <c r="U53" s="263">
        <f>T53*Indeksacja!U$61</f>
        <v>52186.924638571349</v>
      </c>
      <c r="V53" s="263">
        <f>U53*Indeksacja!V$61</f>
        <v>57890.540894893689</v>
      </c>
      <c r="W53" s="263">
        <f>V53*Indeksacja!W$61</f>
        <v>69204.847003894552</v>
      </c>
      <c r="X53" s="263">
        <f>W53*Indeksacja!X$61</f>
        <v>77217.975691104235</v>
      </c>
      <c r="Y53" s="263">
        <f>X53*Indeksacja!Y$61</f>
        <v>79334.456717036155</v>
      </c>
      <c r="Z53" s="263">
        <f>Y53*Indeksacja!Z$61</f>
        <v>81893.606648796762</v>
      </c>
      <c r="AA53" s="263">
        <f>Z53*Indeksacja!AA$61</f>
        <v>84345.283914559055</v>
      </c>
      <c r="AB53" s="263">
        <f>AA53*Indeksacja!AB$61</f>
        <v>86433.042222829856</v>
      </c>
      <c r="AC53" s="263">
        <f>AB53*Indeksacja!AC$61</f>
        <v>88579.984177034989</v>
      </c>
      <c r="AD53" s="263">
        <f>AC53*Indeksacja!AD$61</f>
        <v>90722.448933282678</v>
      </c>
      <c r="AE53" s="263">
        <f>AD53*Indeksacja!AE$61</f>
        <v>92856.047401552612</v>
      </c>
      <c r="AF53" s="263">
        <f>AE53*Indeksacja!AF$61</f>
        <v>94858.318929316796</v>
      </c>
      <c r="AG53" s="263">
        <f>AF53*Indeksacja!AG$61</f>
        <v>96782.638835820107</v>
      </c>
      <c r="AH53" s="263">
        <f>AG53*Indeksacja!AH$61</f>
        <v>98773.435539474114</v>
      </c>
      <c r="AI53" s="263">
        <f>AH53*Indeksacja!AI$61</f>
        <v>100821.70979528059</v>
      </c>
      <c r="AJ53" s="263">
        <f>AI53*Indeksacja!AJ$61</f>
        <v>102766.66762765298</v>
      </c>
      <c r="AK53" s="263">
        <f>AJ53*Indeksacja!AK$61</f>
        <v>104681.00693740664</v>
      </c>
      <c r="AL53" s="263">
        <f>AK53*Indeksacja!AL$61</f>
        <v>106554.65853660449</v>
      </c>
      <c r="AM53" s="263">
        <f>AL53*Indeksacja!AM$61</f>
        <v>108388.33829740244</v>
      </c>
      <c r="AN53" s="263">
        <f>AM53*Indeksacja!AN$61</f>
        <v>110089.43686921684</v>
      </c>
      <c r="AO53" s="263">
        <f>AN53*Indeksacja!AO$61</f>
        <v>111648.68397498838</v>
      </c>
      <c r="AP53" s="263">
        <f>AO53*Indeksacja!AP$61</f>
        <v>113148.080326136</v>
      </c>
      <c r="AQ53" s="263">
        <f>AP53*Indeksacja!AQ$61</f>
        <v>114492.64487200785</v>
      </c>
      <c r="AR53" s="263">
        <f>AQ53*Indeksacja!AR$61</f>
        <v>115762.04649486741</v>
      </c>
      <c r="AS53" s="263">
        <f>AR53*Indeksacja!AS$61</f>
        <v>117052.24847278642</v>
      </c>
      <c r="AT53" s="263">
        <f>AS53*Indeksacja!AT$61</f>
        <v>118370.5708601396</v>
      </c>
      <c r="AU53" s="263">
        <f>AT53*Indeksacja!AU$61</f>
        <v>119710.06855111316</v>
      </c>
      <c r="AV53" s="263">
        <f>AU53*Indeksacja!AV$61</f>
        <v>121070.96675684465</v>
      </c>
      <c r="AW53" s="263">
        <f>AV53*Indeksacja!AW$61</f>
        <v>122454.89574595528</v>
      </c>
      <c r="AX53" s="263">
        <f>AW53*Indeksacja!AX$61</f>
        <v>123758.108107819</v>
      </c>
      <c r="AY53" s="263">
        <f>AX53*Indeksacja!AY$61</f>
        <v>125084.31805276242</v>
      </c>
      <c r="AZ53" s="263">
        <f>AY53*Indeksacja!AZ$61</f>
        <v>126434.86178226503</v>
      </c>
      <c r="BA53" s="263">
        <f>AZ53*Indeksacja!BA$61</f>
        <v>127819.58657896241</v>
      </c>
      <c r="BB53" s="263">
        <f>BA53*Indeksacja!BB$61</f>
        <v>129334.33035740748</v>
      </c>
      <c r="BC53" s="263">
        <f>BB53*Indeksacja!BC$61</f>
        <v>130880.27416102508</v>
      </c>
      <c r="BD53" s="263">
        <f>BC53*Indeksacja!BD$61</f>
        <v>132459.5721351543</v>
      </c>
      <c r="BE53" s="263">
        <f>BD53*Indeksacja!BE$61</f>
        <v>134072.81413778572</v>
      </c>
      <c r="BF53" s="263">
        <f>BE53*Indeksacja!BF$61</f>
        <v>135828.91687710912</v>
      </c>
      <c r="BG53" s="263">
        <f>BF53*Indeksacja!BG$61</f>
        <v>137632.97289442504</v>
      </c>
      <c r="BH53" s="263">
        <f>BG53*Indeksacja!BH$61</f>
        <v>139477.18277957512</v>
      </c>
      <c r="BI53" s="263">
        <f>BH53*Indeksacja!BI$61</f>
        <v>141466.7181302103</v>
      </c>
    </row>
    <row r="54" spans="1:61">
      <c r="A54" s="269" t="s">
        <v>132</v>
      </c>
      <c r="B54" s="266"/>
      <c r="C54" s="264"/>
      <c r="D54" s="264"/>
      <c r="E54" s="264"/>
      <c r="F54" s="264"/>
      <c r="G54" s="264"/>
      <c r="H54" s="264"/>
      <c r="I54" s="264"/>
      <c r="J54" s="264"/>
      <c r="K54" s="264"/>
      <c r="L54" s="264"/>
      <c r="M54" s="264"/>
      <c r="N54" s="264"/>
      <c r="O54" s="264"/>
      <c r="P54" s="264"/>
      <c r="Q54" s="267">
        <f>Q15*$B$35*$Q$38*$Q$42/100</f>
        <v>2082.9916800000001</v>
      </c>
      <c r="R54" s="268">
        <f>Q54*Indeksacja!R$61</f>
        <v>2211.335942073661</v>
      </c>
      <c r="S54" s="263">
        <f>R54*Indeksacja!S$61</f>
        <v>2352.8244923360403</v>
      </c>
      <c r="T54" s="263">
        <f>S54*Indeksacja!T$61</f>
        <v>2493.653615630968</v>
      </c>
      <c r="U54" s="263">
        <f>T54*Indeksacja!U$61</f>
        <v>2536.8643921527737</v>
      </c>
      <c r="V54" s="263">
        <f>U54*Indeksacja!V$61</f>
        <v>2814.1235157239985</v>
      </c>
      <c r="W54" s="263">
        <f>V54*Indeksacja!W$61</f>
        <v>3364.1245071337626</v>
      </c>
      <c r="X54" s="263">
        <f>W54*Indeksacja!X$61</f>
        <v>3753.6515960953443</v>
      </c>
      <c r="Y54" s="263">
        <f>X54*Indeksacja!Y$61</f>
        <v>3856.5360904114796</v>
      </c>
      <c r="Z54" s="263">
        <f>Y54*Indeksacja!Z$61</f>
        <v>3980.9392120942866</v>
      </c>
      <c r="AA54" s="263">
        <f>Z54*Indeksacja!AA$61</f>
        <v>4100.1179680688429</v>
      </c>
      <c r="AB54" s="263">
        <f>AA54*Indeksacja!AB$61</f>
        <v>4201.60621916534</v>
      </c>
      <c r="AC54" s="263">
        <f>AB54*Indeksacja!AC$61</f>
        <v>4305.9714530503115</v>
      </c>
      <c r="AD54" s="263">
        <f>AC54*Indeksacja!AD$61</f>
        <v>4410.1190453679073</v>
      </c>
      <c r="AE54" s="263">
        <f>AD54*Indeksacja!AE$61</f>
        <v>4513.8356375754738</v>
      </c>
      <c r="AF54" s="263">
        <f>AE54*Indeksacja!AF$61</f>
        <v>4611.1682812862327</v>
      </c>
      <c r="AG54" s="263">
        <f>AF54*Indeksacja!AG$61</f>
        <v>4704.7116100745889</v>
      </c>
      <c r="AH54" s="263">
        <f>AG54*Indeksacja!AH$61</f>
        <v>4801.4864498355473</v>
      </c>
      <c r="AI54" s="263">
        <f>AH54*Indeksacja!AI$61</f>
        <v>4901.0553372705845</v>
      </c>
      <c r="AJ54" s="263">
        <f>AI54*Indeksacja!AJ$61</f>
        <v>4995.6018985664641</v>
      </c>
      <c r="AK54" s="263">
        <f>AJ54*Indeksacja!AK$61</f>
        <v>5088.6600594572674</v>
      </c>
      <c r="AL54" s="263">
        <f>AK54*Indeksacja!AL$61</f>
        <v>5179.7403455293852</v>
      </c>
      <c r="AM54" s="263">
        <f>AL54*Indeksacja!AM$61</f>
        <v>5268.8775561237308</v>
      </c>
      <c r="AN54" s="263">
        <f>AM54*Indeksacja!AN$61</f>
        <v>5351.5698478091526</v>
      </c>
      <c r="AO54" s="263">
        <f>AN54*Indeksacja!AO$61</f>
        <v>5427.3665821174918</v>
      </c>
      <c r="AP54" s="263">
        <f>AO54*Indeksacja!AP$61</f>
        <v>5500.2539047427235</v>
      </c>
      <c r="AQ54" s="263">
        <f>AP54*Indeksacja!AQ$61</f>
        <v>5565.6146812781608</v>
      </c>
      <c r="AR54" s="263">
        <f>AQ54*Indeksacja!AR$61</f>
        <v>5627.3217046116115</v>
      </c>
      <c r="AS54" s="263">
        <f>AR54*Indeksacja!AS$61</f>
        <v>5690.0398563160079</v>
      </c>
      <c r="AT54" s="263">
        <f>AS54*Indeksacja!AT$61</f>
        <v>5754.1249723678993</v>
      </c>
      <c r="AU54" s="263">
        <f>AT54*Indeksacja!AU$61</f>
        <v>5819.2394434568914</v>
      </c>
      <c r="AV54" s="263">
        <f>AU54*Indeksacja!AV$61</f>
        <v>5885.3942173466166</v>
      </c>
      <c r="AW54" s="263">
        <f>AV54*Indeksacja!AW$61</f>
        <v>5952.6685432061613</v>
      </c>
      <c r="AX54" s="263">
        <f>AW54*Indeksacja!AX$61</f>
        <v>6016.0191441300931</v>
      </c>
      <c r="AY54" s="263">
        <f>AX54*Indeksacja!AY$61</f>
        <v>6080.4876831203983</v>
      </c>
      <c r="AZ54" s="263">
        <f>AY54*Indeksacja!AZ$61</f>
        <v>6146.1391144156642</v>
      </c>
      <c r="BA54" s="263">
        <f>AZ54*Indeksacja!BA$61</f>
        <v>6213.4521253662315</v>
      </c>
      <c r="BB54" s="263">
        <f>BA54*Indeksacja!BB$61</f>
        <v>6287.0855034850892</v>
      </c>
      <c r="BC54" s="263">
        <f>BB54*Indeksacja!BC$61</f>
        <v>6362.2355494942785</v>
      </c>
      <c r="BD54" s="263">
        <f>BC54*Indeksacja!BD$61</f>
        <v>6439.0069787922266</v>
      </c>
      <c r="BE54" s="263">
        <f>BD54*Indeksacja!BE$61</f>
        <v>6517.4284650312538</v>
      </c>
      <c r="BF54" s="263">
        <f>BE54*Indeksacja!BF$61</f>
        <v>6602.7945704150297</v>
      </c>
      <c r="BG54" s="263">
        <f>BF54*Indeksacja!BG$61</f>
        <v>6690.491737923443</v>
      </c>
      <c r="BH54" s="263">
        <f>BG54*Indeksacja!BH$61</f>
        <v>6780.1408295626834</v>
      </c>
      <c r="BI54" s="263">
        <f>BH54*Indeksacja!BI$61</f>
        <v>6876.8543535518938</v>
      </c>
    </row>
    <row r="55" spans="1:61" ht="18">
      <c r="A55" s="265" t="s">
        <v>133</v>
      </c>
      <c r="B55" s="266"/>
      <c r="C55" s="264"/>
      <c r="D55" s="264"/>
      <c r="E55" s="264"/>
      <c r="F55" s="264"/>
      <c r="G55" s="264"/>
      <c r="H55" s="264"/>
      <c r="I55" s="264"/>
      <c r="J55" s="264"/>
      <c r="K55" s="264"/>
      <c r="L55" s="264"/>
      <c r="M55" s="264"/>
      <c r="N55" s="264"/>
      <c r="O55" s="264"/>
      <c r="P55" s="264"/>
      <c r="Q55" s="267">
        <f>R15*$B$35*$Q$38*$Q$42/100</f>
        <v>24400.759679999999</v>
      </c>
      <c r="R55" s="268">
        <f>Q55*Indeksacja!R$61</f>
        <v>25904.221035720031</v>
      </c>
      <c r="S55" s="263">
        <f>R55*Indeksacja!S$61</f>
        <v>27561.658338793615</v>
      </c>
      <c r="T55" s="263">
        <f>S55*Indeksacja!T$61</f>
        <v>29211.370925962772</v>
      </c>
      <c r="U55" s="263">
        <f>T55*Indeksacja!U$61</f>
        <v>29717.554308075352</v>
      </c>
      <c r="V55" s="263">
        <f>U55*Indeksacja!V$61</f>
        <v>32965.446898481132</v>
      </c>
      <c r="W55" s="263">
        <f>V55*Indeksacja!W$61</f>
        <v>39408.315654995509</v>
      </c>
      <c r="X55" s="263">
        <f>W55*Indeksacja!X$61</f>
        <v>43971.347268545462</v>
      </c>
      <c r="Y55" s="263">
        <f>X55*Indeksacja!Y$61</f>
        <v>45176.565630534475</v>
      </c>
      <c r="Z55" s="263">
        <f>Y55*Indeksacja!Z$61</f>
        <v>46633.859341675932</v>
      </c>
      <c r="AA55" s="263">
        <f>Z55*Indeksacja!AA$61</f>
        <v>48029.953340235021</v>
      </c>
      <c r="AB55" s="263">
        <f>AA55*Indeksacja!AB$61</f>
        <v>49218.81571022256</v>
      </c>
      <c r="AC55" s="263">
        <f>AB55*Indeksacja!AC$61</f>
        <v>50441.379878589374</v>
      </c>
      <c r="AD55" s="263">
        <f>AC55*Indeksacja!AD$61</f>
        <v>51661.394531452643</v>
      </c>
      <c r="AE55" s="263">
        <f>AD55*Indeksacja!AE$61</f>
        <v>52876.360325884132</v>
      </c>
      <c r="AF55" s="263">
        <f>AE55*Indeksacja!AF$61</f>
        <v>54016.542723638733</v>
      </c>
      <c r="AG55" s="263">
        <f>AF55*Indeksacja!AG$61</f>
        <v>55112.336003730903</v>
      </c>
      <c r="AH55" s="263">
        <f>AG55*Indeksacja!AH$61</f>
        <v>56245.984126644988</v>
      </c>
      <c r="AI55" s="263">
        <f>AH55*Indeksacja!AI$61</f>
        <v>57412.362522312564</v>
      </c>
      <c r="AJ55" s="263">
        <f>AI55*Indeksacja!AJ$61</f>
        <v>58519.907954635732</v>
      </c>
      <c r="AK55" s="263">
        <f>AJ55*Indeksacja!AK$61</f>
        <v>59610.017839356566</v>
      </c>
      <c r="AL55" s="263">
        <f>AK55*Indeksacja!AL$61</f>
        <v>60676.958333344235</v>
      </c>
      <c r="AM55" s="263">
        <f>AL55*Indeksacja!AM$61</f>
        <v>61721.137086020848</v>
      </c>
      <c r="AN55" s="263">
        <f>AM55*Indeksacja!AN$61</f>
        <v>62689.818217192929</v>
      </c>
      <c r="AO55" s="263">
        <f>AN55*Indeksacja!AO$61</f>
        <v>63577.72281909061</v>
      </c>
      <c r="AP55" s="263">
        <f>AO55*Indeksacja!AP$61</f>
        <v>64431.545741271897</v>
      </c>
      <c r="AQ55" s="263">
        <f>AP55*Indeksacja!AQ$61</f>
        <v>65197.200552115595</v>
      </c>
      <c r="AR55" s="263">
        <f>AQ55*Indeksacja!AR$61</f>
        <v>65920.054254021728</v>
      </c>
      <c r="AS55" s="263">
        <f>AR55*Indeksacja!AS$61</f>
        <v>66654.752602558947</v>
      </c>
      <c r="AT55" s="263">
        <f>AS55*Indeksacja!AT$61</f>
        <v>67405.463962023961</v>
      </c>
      <c r="AU55" s="263">
        <f>AT55*Indeksacja!AU$61</f>
        <v>68168.233480495008</v>
      </c>
      <c r="AV55" s="263">
        <f>AU55*Indeksacja!AV$61</f>
        <v>68943.189403203214</v>
      </c>
      <c r="AW55" s="263">
        <f>AV55*Indeksacja!AW$61</f>
        <v>69731.260077557876</v>
      </c>
      <c r="AX55" s="263">
        <f>AW55*Indeksacja!AX$61</f>
        <v>70473.367116952504</v>
      </c>
      <c r="AY55" s="263">
        <f>AX55*Indeksacja!AY$61</f>
        <v>71228.570002267501</v>
      </c>
      <c r="AZ55" s="263">
        <f>AY55*Indeksacja!AZ$61</f>
        <v>71997.629626012043</v>
      </c>
      <c r="BA55" s="263">
        <f>AZ55*Indeksacja!BA$61</f>
        <v>72786.153468575823</v>
      </c>
      <c r="BB55" s="263">
        <f>BA55*Indeksacja!BB$61</f>
        <v>73648.715897968155</v>
      </c>
      <c r="BC55" s="263">
        <f>BB55*Indeksacja!BC$61</f>
        <v>74529.045008361514</v>
      </c>
      <c r="BD55" s="263">
        <f>BC55*Indeksacja!BD$61</f>
        <v>75428.367465851756</v>
      </c>
      <c r="BE55" s="263">
        <f>BD55*Indeksacja!BE$61</f>
        <v>76347.01916179464</v>
      </c>
      <c r="BF55" s="263">
        <f>BE55*Indeksacja!BF$61</f>
        <v>77347.022110576014</v>
      </c>
      <c r="BG55" s="263">
        <f>BF55*Indeksacja!BG$61</f>
        <v>78374.331787103132</v>
      </c>
      <c r="BH55" s="263">
        <f>BG55*Indeksacja!BH$61</f>
        <v>79424.506860591369</v>
      </c>
      <c r="BI55" s="263">
        <f>BH55*Indeksacja!BI$61</f>
        <v>80557.436713036412</v>
      </c>
    </row>
    <row r="56" spans="1:61" ht="18">
      <c r="A56" s="270" t="s">
        <v>146</v>
      </c>
      <c r="B56" s="271"/>
      <c r="C56" s="272"/>
      <c r="D56" s="272"/>
      <c r="E56" s="272"/>
      <c r="F56" s="272"/>
      <c r="G56" s="272"/>
      <c r="H56" s="272"/>
      <c r="I56" s="272"/>
      <c r="J56" s="272"/>
      <c r="K56" s="272"/>
      <c r="L56" s="272"/>
      <c r="M56" s="272"/>
      <c r="N56" s="272"/>
      <c r="O56" s="272"/>
      <c r="P56" s="272"/>
      <c r="Q56" s="273">
        <f>S15*$B$35*$Q$38*$Q$42/100</f>
        <v>43742.825279999997</v>
      </c>
      <c r="R56" s="274">
        <f>Q56*Indeksacja!R$61</f>
        <v>46438.054783546882</v>
      </c>
      <c r="S56" s="275">
        <f>R56*Indeksacja!S$61</f>
        <v>49409.314339056844</v>
      </c>
      <c r="T56" s="275">
        <f>S56*Indeksacja!T$61</f>
        <v>52366.725928250329</v>
      </c>
      <c r="U56" s="275">
        <f>T56*Indeksacja!U$61</f>
        <v>53274.152235208247</v>
      </c>
      <c r="V56" s="275">
        <f>U56*Indeksacja!V$61</f>
        <v>59096.593830203965</v>
      </c>
      <c r="W56" s="275">
        <f>V56*Indeksacja!W$61</f>
        <v>70646.614649809009</v>
      </c>
      <c r="X56" s="275">
        <f>W56*Indeksacja!X$61</f>
        <v>78826.683518002217</v>
      </c>
      <c r="Y56" s="275">
        <f>X56*Indeksacja!Y$61</f>
        <v>80987.257898641052</v>
      </c>
      <c r="Z56" s="275">
        <f>Y56*Indeksacja!Z$61</f>
        <v>83599.723453979997</v>
      </c>
      <c r="AA56" s="275">
        <f>Z56*Indeksacja!AA$61</f>
        <v>86102.477329445668</v>
      </c>
      <c r="AB56" s="275">
        <f>AA56*Indeksacja!AB$61</f>
        <v>88233.730602472104</v>
      </c>
      <c r="AC56" s="275">
        <f>AB56*Indeksacja!AC$61</f>
        <v>90425.400514056513</v>
      </c>
      <c r="AD56" s="275">
        <f>AC56*Indeksacja!AD$61</f>
        <v>92612.499952726022</v>
      </c>
      <c r="AE56" s="275">
        <f>AD56*Indeksacja!AE$61</f>
        <v>94790.548389084914</v>
      </c>
      <c r="AF56" s="275">
        <f>AE56*Indeksacja!AF$61</f>
        <v>96834.533907010846</v>
      </c>
      <c r="AG56" s="275">
        <f>AF56*Indeksacja!AG$61</f>
        <v>98798.943811566322</v>
      </c>
      <c r="AH56" s="275">
        <f>AG56*Indeksacja!AH$61</f>
        <v>100831.21544654644</v>
      </c>
      <c r="AI56" s="275">
        <f>AH56*Indeksacja!AI$61</f>
        <v>102922.16208268222</v>
      </c>
      <c r="AJ56" s="275">
        <f>AI56*Indeksacja!AJ$61</f>
        <v>104907.63986989571</v>
      </c>
      <c r="AK56" s="275">
        <f>AJ56*Indeksacja!AK$61</f>
        <v>106861.86124860257</v>
      </c>
      <c r="AL56" s="275">
        <f>AK56*Indeksacja!AL$61</f>
        <v>108774.54725611705</v>
      </c>
      <c r="AM56" s="275">
        <f>AL56*Indeksacja!AM$61</f>
        <v>110646.4286785983</v>
      </c>
      <c r="AN56" s="275">
        <f>AM56*Indeksacja!AN$61</f>
        <v>112382.96680399215</v>
      </c>
      <c r="AO56" s="275">
        <f>AN56*Indeksacja!AO$61</f>
        <v>113974.69822446727</v>
      </c>
      <c r="AP56" s="275">
        <f>AO56*Indeksacja!AP$61</f>
        <v>115505.33199959714</v>
      </c>
      <c r="AQ56" s="275">
        <f>AP56*Indeksacja!AQ$61</f>
        <v>116877.90830684133</v>
      </c>
      <c r="AR56" s="275">
        <f>AQ56*Indeksacja!AR$61</f>
        <v>118173.75579684381</v>
      </c>
      <c r="AS56" s="275">
        <f>AR56*Indeksacja!AS$61</f>
        <v>119490.83698263613</v>
      </c>
      <c r="AT56" s="275">
        <f>AS56*Indeksacja!AT$61</f>
        <v>120836.62441972583</v>
      </c>
      <c r="AU56" s="275">
        <f>AT56*Indeksacja!AU$61</f>
        <v>122204.02831259467</v>
      </c>
      <c r="AV56" s="275">
        <f>AU56*Indeksacja!AV$61</f>
        <v>123593.27856427891</v>
      </c>
      <c r="AW56" s="275">
        <f>AV56*Indeksacja!AW$61</f>
        <v>125006.03940732934</v>
      </c>
      <c r="AX56" s="275">
        <f>AW56*Indeksacja!AX$61</f>
        <v>126336.4020267319</v>
      </c>
      <c r="AY56" s="275">
        <f>AX56*Indeksacja!AY$61</f>
        <v>127690.24134552831</v>
      </c>
      <c r="AZ56" s="275">
        <f>AY56*Indeksacja!AZ$61</f>
        <v>129068.92140272888</v>
      </c>
      <c r="BA56" s="275">
        <f>AZ56*Indeksacja!BA$61</f>
        <v>130482.4946326908</v>
      </c>
      <c r="BB56" s="275">
        <f>BA56*Indeksacja!BB$61</f>
        <v>132028.7955731868</v>
      </c>
      <c r="BC56" s="275">
        <f>BB56*Indeksacja!BC$61</f>
        <v>133606.94653937977</v>
      </c>
      <c r="BD56" s="275">
        <f>BC56*Indeksacja!BD$61</f>
        <v>135219.14655463668</v>
      </c>
      <c r="BE56" s="275">
        <f>BD56*Indeksacja!BE$61</f>
        <v>136865.99776565624</v>
      </c>
      <c r="BF56" s="275">
        <f>BE56*Indeksacja!BF$61</f>
        <v>138658.68597871554</v>
      </c>
      <c r="BG56" s="275">
        <f>BF56*Indeksacja!BG$61</f>
        <v>140500.32649639223</v>
      </c>
      <c r="BH56" s="275">
        <f>BG56*Indeksacja!BH$61</f>
        <v>142382.95742081627</v>
      </c>
      <c r="BI56" s="275">
        <f>BH56*Indeksacja!BI$61</f>
        <v>144413.94142458969</v>
      </c>
    </row>
    <row r="57" spans="1:61" ht="18">
      <c r="A57" s="276" t="s">
        <v>147</v>
      </c>
      <c r="B57" s="277"/>
      <c r="C57" s="278"/>
      <c r="D57" s="278"/>
      <c r="E57" s="278"/>
      <c r="F57" s="278"/>
      <c r="G57" s="278"/>
      <c r="H57" s="278"/>
      <c r="I57" s="278"/>
      <c r="J57" s="278"/>
      <c r="K57" s="278"/>
      <c r="L57" s="278"/>
      <c r="M57" s="278"/>
      <c r="N57" s="278"/>
      <c r="O57" s="278"/>
      <c r="P57" s="278"/>
      <c r="Q57" s="279">
        <f>T15*$B$35*$Q$38*$Q$42/100</f>
        <v>26483.751360000006</v>
      </c>
      <c r="R57" s="280">
        <f>Q57*Indeksacja!R$61</f>
        <v>28115.556977793698</v>
      </c>
      <c r="S57" s="281">
        <f>R57*Indeksacja!S$61</f>
        <v>29914.482831129662</v>
      </c>
      <c r="T57" s="281">
        <f>S57*Indeksacja!T$61</f>
        <v>31705.024541593746</v>
      </c>
      <c r="U57" s="281">
        <f>T57*Indeksacja!U$61</f>
        <v>32254.418700228132</v>
      </c>
      <c r="V57" s="281">
        <f>U57*Indeksacja!V$61</f>
        <v>35779.570414205133</v>
      </c>
      <c r="W57" s="281">
        <f>V57*Indeksacja!W$61</f>
        <v>42772.440162129278</v>
      </c>
      <c r="X57" s="281">
        <f>W57*Indeksacja!X$61</f>
        <v>47724.998864640816</v>
      </c>
      <c r="Y57" s="281">
        <f>X57*Indeksacja!Y$61</f>
        <v>49033.101720945961</v>
      </c>
      <c r="Z57" s="281">
        <f>Y57*Indeksacja!Z$61</f>
        <v>50614.798553770226</v>
      </c>
      <c r="AA57" s="281">
        <f>Z57*Indeksacja!AA$61</f>
        <v>52130.071308303864</v>
      </c>
      <c r="AB57" s="281">
        <f>AA57*Indeksacja!AB$61</f>
        <v>53420.4219293879</v>
      </c>
      <c r="AC57" s="281">
        <f>AB57*Indeksacja!AC$61</f>
        <v>54747.351331639686</v>
      </c>
      <c r="AD57" s="281">
        <f>AC57*Indeksacja!AD$61</f>
        <v>56071.513576820544</v>
      </c>
      <c r="AE57" s="281">
        <f>AD57*Indeksacja!AE$61</f>
        <v>57390.195963459606</v>
      </c>
      <c r="AF57" s="281">
        <f>AE57*Indeksacja!AF$61</f>
        <v>58627.711004924968</v>
      </c>
      <c r="AG57" s="281">
        <f>AF57*Indeksacja!AG$61</f>
        <v>59817.047613805487</v>
      </c>
      <c r="AH57" s="281">
        <f>AG57*Indeksacja!AH$61</f>
        <v>61047.470576480533</v>
      </c>
      <c r="AI57" s="281">
        <f>AH57*Indeksacja!AI$61</f>
        <v>62313.417859583147</v>
      </c>
      <c r="AJ57" s="281">
        <f>AI57*Indeksacja!AJ$61</f>
        <v>63515.509853202195</v>
      </c>
      <c r="AK57" s="281">
        <f>AJ57*Indeksacja!AK$61</f>
        <v>64698.677898813832</v>
      </c>
      <c r="AL57" s="281">
        <f>AK57*Indeksacja!AL$61</f>
        <v>65856.698678873625</v>
      </c>
      <c r="AM57" s="281">
        <f>AL57*Indeksacja!AM$61</f>
        <v>66990.014642144582</v>
      </c>
      <c r="AN57" s="281">
        <f>AM57*Indeksacja!AN$61</f>
        <v>68041.388065002087</v>
      </c>
      <c r="AO57" s="281">
        <f>AN57*Indeksacja!AO$61</f>
        <v>69005.089401208112</v>
      </c>
      <c r="AP57" s="281">
        <f>AO57*Indeksacja!AP$61</f>
        <v>69931.799646014624</v>
      </c>
      <c r="AQ57" s="281">
        <f>AP57*Indeksacja!AQ$61</f>
        <v>70762.815233393761</v>
      </c>
      <c r="AR57" s="281">
        <f>AQ57*Indeksacja!AR$61</f>
        <v>71547.375958633347</v>
      </c>
      <c r="AS57" s="281">
        <f>AR57*Indeksacja!AS$61</f>
        <v>72344.792458874959</v>
      </c>
      <c r="AT57" s="281">
        <f>AS57*Indeksacja!AT$61</f>
        <v>73159.588934391853</v>
      </c>
      <c r="AU57" s="281">
        <f>AT57*Indeksacja!AU$61</f>
        <v>73987.472923951893</v>
      </c>
      <c r="AV57" s="281">
        <f>AU57*Indeksacja!AV$61</f>
        <v>74828.583620549834</v>
      </c>
      <c r="AW57" s="281">
        <f>AV57*Indeksacja!AW$61</f>
        <v>75683.92862076404</v>
      </c>
      <c r="AX57" s="281">
        <f>AW57*Indeksacja!AX$61</f>
        <v>76489.386261082589</v>
      </c>
      <c r="AY57" s="281">
        <f>AX57*Indeksacja!AY$61</f>
        <v>77309.057685387903</v>
      </c>
      <c r="AZ57" s="281">
        <f>AY57*Indeksacja!AZ$61</f>
        <v>78143.768740427709</v>
      </c>
      <c r="BA57" s="281">
        <f>AZ57*Indeksacja!BA$61</f>
        <v>78999.605593942062</v>
      </c>
      <c r="BB57" s="281">
        <f>BA57*Indeksacja!BB$61</f>
        <v>79935.801401453253</v>
      </c>
      <c r="BC57" s="281">
        <f>BB57*Indeksacja!BC$61</f>
        <v>80891.280557855804</v>
      </c>
      <c r="BD57" s="281">
        <f>BC57*Indeksacja!BD$61</f>
        <v>81867.374444643996</v>
      </c>
      <c r="BE57" s="281">
        <f>BD57*Indeksacja!BE$61</f>
        <v>82864.447626825917</v>
      </c>
      <c r="BF57" s="281">
        <f>BE57*Indeksacja!BF$61</f>
        <v>83949.816680991076</v>
      </c>
      <c r="BG57" s="281">
        <f>BF57*Indeksacja!BG$61</f>
        <v>85064.823525026615</v>
      </c>
      <c r="BH57" s="281">
        <f>BG57*Indeksacja!BH$61</f>
        <v>86204.647690154103</v>
      </c>
      <c r="BI57" s="281">
        <f>BH57*Indeksacja!BI$61</f>
        <v>87434.291066588354</v>
      </c>
    </row>
    <row r="58" spans="1:61" ht="18">
      <c r="A58" s="270" t="s">
        <v>254</v>
      </c>
      <c r="B58" s="271"/>
      <c r="C58" s="272"/>
      <c r="D58" s="272"/>
      <c r="E58" s="272"/>
      <c r="F58" s="272"/>
      <c r="G58" s="272"/>
      <c r="H58" s="272"/>
      <c r="I58" s="272"/>
      <c r="J58" s="272"/>
      <c r="K58" s="272"/>
      <c r="L58" s="272"/>
      <c r="M58" s="272"/>
      <c r="N58" s="272"/>
      <c r="O58" s="272"/>
      <c r="P58" s="272"/>
      <c r="Q58" s="273">
        <f>U15*$B$35*$Q$38*$Q$42/100</f>
        <v>839148.07679999992</v>
      </c>
      <c r="R58" s="274">
        <f>Q58*Indeksacja!R$61</f>
        <v>890852.47952110344</v>
      </c>
      <c r="S58" s="275">
        <f>R58*Indeksacja!S$61</f>
        <v>947852.15262680477</v>
      </c>
      <c r="T58" s="275">
        <f>S58*Indeksacja!T$61</f>
        <v>1004586.1708684757</v>
      </c>
      <c r="U58" s="275">
        <f>T58*Indeksacja!U$61</f>
        <v>1021993.9408386888</v>
      </c>
      <c r="V58" s="275">
        <f>U58*Indeksacja!V$61</f>
        <v>1133689.7591916679</v>
      </c>
      <c r="W58" s="275">
        <f>V58*Indeksacja!W$61</f>
        <v>1355261.5871596015</v>
      </c>
      <c r="X58" s="275">
        <f>W58*Indeksacja!X$61</f>
        <v>1512185.3572841242</v>
      </c>
      <c r="Y58" s="275">
        <f>X58*Indeksacja!Y$61</f>
        <v>1553633.1107086244</v>
      </c>
      <c r="Z58" s="275">
        <f>Y58*Indeksacja!Z$61</f>
        <v>1603749.7968722696</v>
      </c>
      <c r="AA58" s="275">
        <f>Z58*Indeksacja!AA$61</f>
        <v>1651761.809993448</v>
      </c>
      <c r="AB58" s="275">
        <f>AA58*Indeksacja!AB$61</f>
        <v>1692647.076863751</v>
      </c>
      <c r="AC58" s="275">
        <f>AB58*Indeksacja!AC$61</f>
        <v>1734691.3568002682</v>
      </c>
      <c r="AD58" s="275">
        <f>AC58*Indeksacja!AD$61</f>
        <v>1776647.9582767852</v>
      </c>
      <c r="AE58" s="275">
        <f>AD58*Indeksacja!AE$61</f>
        <v>1818430.9282804048</v>
      </c>
      <c r="AF58" s="275">
        <f>AE58*Indeksacja!AF$61</f>
        <v>1857642.0790324532</v>
      </c>
      <c r="AG58" s="275">
        <f>AF58*Indeksacja!AG$61</f>
        <v>1895326.6772014766</v>
      </c>
      <c r="AH58" s="275">
        <f>AG58*Indeksacja!AH$61</f>
        <v>1934313.1126480342</v>
      </c>
      <c r="AI58" s="275">
        <f>AH58*Indeksacja!AI$61</f>
        <v>1974425.1501575778</v>
      </c>
      <c r="AJ58" s="275">
        <f>AI58*Indeksacja!AJ$61</f>
        <v>2012513.9077082039</v>
      </c>
      <c r="AK58" s="275">
        <f>AJ58*Indeksacja!AK$61</f>
        <v>2050003.052524213</v>
      </c>
      <c r="AL58" s="275">
        <f>AK58*Indeksacja!AL$61</f>
        <v>2086695.3963418377</v>
      </c>
      <c r="AM58" s="275">
        <f>AL58*Indeksacja!AM$61</f>
        <v>2122604.9583241311</v>
      </c>
      <c r="AN58" s="275">
        <f>AM58*Indeksacja!AN$61</f>
        <v>2155918.1386888297</v>
      </c>
      <c r="AO58" s="275">
        <f>AN58*Indeksacja!AO$61</f>
        <v>2186453.3945101891</v>
      </c>
      <c r="AP58" s="275">
        <f>AO58*Indeksacja!AP$61</f>
        <v>2215816.5730534969</v>
      </c>
      <c r="AQ58" s="275">
        <f>AP58*Indeksacja!AQ$61</f>
        <v>2242147.6287434874</v>
      </c>
      <c r="AR58" s="275">
        <f>AQ58*Indeksacja!AR$61</f>
        <v>2267006.7438578205</v>
      </c>
      <c r="AS58" s="275">
        <f>AR58*Indeksacja!AS$61</f>
        <v>2292273.1992587345</v>
      </c>
      <c r="AT58" s="275">
        <f>AS58*Indeksacja!AT$61</f>
        <v>2318090.3460110677</v>
      </c>
      <c r="AU58" s="275">
        <f>AT58*Indeksacja!AU$61</f>
        <v>2344322.1757926331</v>
      </c>
      <c r="AV58" s="275">
        <f>AU58*Indeksacja!AV$61</f>
        <v>2370973.098988208</v>
      </c>
      <c r="AW58" s="275">
        <f>AV58*Indeksacja!AW$61</f>
        <v>2398075.0416916246</v>
      </c>
      <c r="AX58" s="275">
        <f>AW58*Indeksacja!AX$61</f>
        <v>2423596.2837781226</v>
      </c>
      <c r="AY58" s="275">
        <f>AX58*Indeksacja!AY$61</f>
        <v>2449567.8951999312</v>
      </c>
      <c r="AZ58" s="275">
        <f>AY58*Indeksacja!AZ$61</f>
        <v>2476016.0432360237</v>
      </c>
      <c r="BA58" s="275">
        <f>AZ58*Indeksacja!BA$61</f>
        <v>2503133.5705046807</v>
      </c>
      <c r="BB58" s="275">
        <f>BA58*Indeksacja!BB$61</f>
        <v>2532797.3028325634</v>
      </c>
      <c r="BC58" s="275">
        <f>BB58*Indeksacja!BC$61</f>
        <v>2563072.0356534082</v>
      </c>
      <c r="BD58" s="275">
        <f>BC58*Indeksacja!BD$61</f>
        <v>2593999.9543134384</v>
      </c>
      <c r="BE58" s="275">
        <f>BD58*Indeksacja!BE$61</f>
        <v>2625592.6101983036</v>
      </c>
      <c r="BF58" s="275">
        <f>BE58*Indeksacja!BF$61</f>
        <v>2659982.9555100533</v>
      </c>
      <c r="BG58" s="275">
        <f>BF58*Indeksacja!BG$61</f>
        <v>2695312.3858491569</v>
      </c>
      <c r="BH58" s="275">
        <f>BG58*Indeksacja!BH$61</f>
        <v>2731428.1627666792</v>
      </c>
      <c r="BI58" s="275">
        <f>BH58*Indeksacja!BI$61</f>
        <v>2770389.896716618</v>
      </c>
    </row>
    <row r="59" spans="1:61" ht="18">
      <c r="A59" s="303" t="s">
        <v>148</v>
      </c>
      <c r="B59" s="304"/>
      <c r="C59" s="305"/>
      <c r="D59" s="305"/>
      <c r="E59" s="305"/>
      <c r="F59" s="305"/>
      <c r="G59" s="305"/>
      <c r="H59" s="305"/>
      <c r="I59" s="305"/>
      <c r="J59" s="305"/>
      <c r="K59" s="305"/>
      <c r="L59" s="305"/>
      <c r="M59" s="305"/>
      <c r="N59" s="305"/>
      <c r="O59" s="305"/>
      <c r="P59" s="305"/>
      <c r="Q59" s="306">
        <f>V15*$B$35*$Q$38*$Q$42/100</f>
        <v>270788.91840000002</v>
      </c>
      <c r="R59" s="307">
        <f>Q59*Indeksacja!R$61</f>
        <v>287473.67246957595</v>
      </c>
      <c r="S59" s="308">
        <f>R59*Indeksacja!S$61</f>
        <v>305867.18400368525</v>
      </c>
      <c r="T59" s="308">
        <f>S59*Indeksacja!T$61</f>
        <v>324174.97003202589</v>
      </c>
      <c r="U59" s="308">
        <f>T59*Indeksacja!U$61</f>
        <v>329792.3709798606</v>
      </c>
      <c r="V59" s="308">
        <f>U59*Indeksacja!V$61</f>
        <v>365836.05704411981</v>
      </c>
      <c r="W59" s="308">
        <f>V59*Indeksacja!W$61</f>
        <v>437336.18592738913</v>
      </c>
      <c r="X59" s="308">
        <f>W59*Indeksacja!X$61</f>
        <v>487974.70749239472</v>
      </c>
      <c r="Y59" s="308">
        <f>X59*Indeksacja!Y$61</f>
        <v>501349.69175349228</v>
      </c>
      <c r="Z59" s="308">
        <f>Y59*Indeksacja!Z$61</f>
        <v>517522.09757225722</v>
      </c>
      <c r="AA59" s="308">
        <f>Z59*Indeksacja!AA$61</f>
        <v>533015.3358489495</v>
      </c>
      <c r="AB59" s="308">
        <f>AA59*Indeksacja!AB$61</f>
        <v>546208.80849149416</v>
      </c>
      <c r="AC59" s="308">
        <f>AB59*Indeksacja!AC$61</f>
        <v>559776.28889654053</v>
      </c>
      <c r="AD59" s="308">
        <f>AC59*Indeksacja!AD$61</f>
        <v>573315.475897828</v>
      </c>
      <c r="AE59" s="308">
        <f>AD59*Indeksacja!AE$61</f>
        <v>586798.63288481161</v>
      </c>
      <c r="AF59" s="308">
        <f>AE59*Indeksacja!AF$61</f>
        <v>599451.8765672103</v>
      </c>
      <c r="AG59" s="308">
        <f>AF59*Indeksacja!AG$61</f>
        <v>611612.5093096965</v>
      </c>
      <c r="AH59" s="308">
        <f>AG59*Indeksacja!AH$61</f>
        <v>624193.23847862112</v>
      </c>
      <c r="AI59" s="308">
        <f>AH59*Indeksacja!AI$61</f>
        <v>637137.19384517591</v>
      </c>
      <c r="AJ59" s="308">
        <f>AI59*Indeksacja!AJ$61</f>
        <v>649428.24681364035</v>
      </c>
      <c r="AK59" s="308">
        <f>AJ59*Indeksacja!AK$61</f>
        <v>661525.8077294447</v>
      </c>
      <c r="AL59" s="308">
        <f>AK59*Indeksacja!AL$61</f>
        <v>673366.2449188201</v>
      </c>
      <c r="AM59" s="308">
        <f>AL59*Indeksacja!AM$61</f>
        <v>684954.08229608496</v>
      </c>
      <c r="AN59" s="308">
        <f>AM59*Indeksacja!AN$61</f>
        <v>695704.08021518984</v>
      </c>
      <c r="AO59" s="308">
        <f>AN59*Indeksacja!AO$61</f>
        <v>705557.65567527385</v>
      </c>
      <c r="AP59" s="308">
        <f>AO59*Indeksacja!AP$61</f>
        <v>715033.00761655392</v>
      </c>
      <c r="AQ59" s="308">
        <f>AP59*Indeksacja!AQ$61</f>
        <v>723529.90856616083</v>
      </c>
      <c r="AR59" s="308">
        <f>AQ59*Indeksacja!AR$61</f>
        <v>731551.82159950945</v>
      </c>
      <c r="AS59" s="308">
        <f>AR59*Indeksacja!AS$61</f>
        <v>739705.18132108101</v>
      </c>
      <c r="AT59" s="308">
        <f>AS59*Indeksacja!AT$61</f>
        <v>748036.24640782678</v>
      </c>
      <c r="AU59" s="308">
        <f>AT59*Indeksacja!AU$61</f>
        <v>756501.12764939573</v>
      </c>
      <c r="AV59" s="308">
        <f>AU59*Indeksacja!AV$61</f>
        <v>765101.24825506005</v>
      </c>
      <c r="AW59" s="308">
        <f>AV59*Indeksacja!AW$61</f>
        <v>773846.91061680089</v>
      </c>
      <c r="AX59" s="308">
        <f>AW59*Indeksacja!AX$61</f>
        <v>782082.48873691203</v>
      </c>
      <c r="AY59" s="308">
        <f>AX59*Indeksacja!AY$61</f>
        <v>790463.3988056517</v>
      </c>
      <c r="AZ59" s="308">
        <f>AY59*Indeksacja!AZ$61</f>
        <v>798998.08487403626</v>
      </c>
      <c r="BA59" s="308">
        <f>AZ59*Indeksacja!BA$61</f>
        <v>807748.77629761002</v>
      </c>
      <c r="BB59" s="308">
        <f>BA59*Indeksacja!BB$61</f>
        <v>817321.11545306153</v>
      </c>
      <c r="BC59" s="308">
        <f>BB59*Indeksacja!BC$61</f>
        <v>827090.62143425609</v>
      </c>
      <c r="BD59" s="308">
        <f>BC59*Indeksacja!BD$61</f>
        <v>837070.90724298928</v>
      </c>
      <c r="BE59" s="308">
        <f>BD59*Indeksacja!BE$61</f>
        <v>847265.70045406278</v>
      </c>
      <c r="BF59" s="308">
        <f>BE59*Indeksacja!BF$61</f>
        <v>858363.29415395367</v>
      </c>
      <c r="BG59" s="308">
        <f>BF59*Indeksacja!BG$61</f>
        <v>869763.92593004741</v>
      </c>
      <c r="BH59" s="308">
        <f>BG59*Indeksacja!BH$61</f>
        <v>881418.30784314859</v>
      </c>
      <c r="BI59" s="308">
        <f>BH59*Indeksacja!BI$61</f>
        <v>893991.06596174592</v>
      </c>
    </row>
    <row r="60" spans="1:61" ht="18">
      <c r="A60" s="276" t="s">
        <v>149</v>
      </c>
      <c r="B60" s="277"/>
      <c r="C60" s="278"/>
      <c r="D60" s="278"/>
      <c r="E60" s="278"/>
      <c r="F60" s="278"/>
      <c r="G60" s="278"/>
      <c r="H60" s="278"/>
      <c r="I60" s="278"/>
      <c r="J60" s="278"/>
      <c r="K60" s="278"/>
      <c r="L60" s="278"/>
      <c r="M60" s="278"/>
      <c r="N60" s="278"/>
      <c r="O60" s="278"/>
      <c r="P60" s="278"/>
      <c r="Q60" s="279">
        <f>W15*$B$35*$Q$38*$Q$42/100</f>
        <v>154736.52480000001</v>
      </c>
      <c r="R60" s="280">
        <f>Q60*Indeksacja!R$61</f>
        <v>164270.66998261484</v>
      </c>
      <c r="S60" s="281">
        <f>R60*Indeksacja!S$61</f>
        <v>174781.24800210586</v>
      </c>
      <c r="T60" s="281">
        <f>S60*Indeksacja!T$61</f>
        <v>185242.84001830051</v>
      </c>
      <c r="U60" s="281">
        <f>T60*Indeksacja!U$61</f>
        <v>188452.78341706321</v>
      </c>
      <c r="V60" s="281">
        <f>U60*Indeksacja!V$61</f>
        <v>209049.17545378278</v>
      </c>
      <c r="W60" s="281">
        <f>V60*Indeksacja!W$61</f>
        <v>249906.39195850812</v>
      </c>
      <c r="X60" s="281">
        <f>W60*Indeksacja!X$61</f>
        <v>278842.68999565416</v>
      </c>
      <c r="Y60" s="281">
        <f>X60*Indeksacja!Y$61</f>
        <v>286485.53814485279</v>
      </c>
      <c r="Z60" s="281">
        <f>Y60*Indeksacja!Z$61</f>
        <v>295726.91289843275</v>
      </c>
      <c r="AA60" s="281">
        <f>Z60*Indeksacja!AA$61</f>
        <v>304580.19191368547</v>
      </c>
      <c r="AB60" s="281">
        <f>AA60*Indeksacja!AB$61</f>
        <v>312119.3191379967</v>
      </c>
      <c r="AC60" s="281">
        <f>AB60*Indeksacja!AC$61</f>
        <v>319872.16508373746</v>
      </c>
      <c r="AD60" s="281">
        <f>AC60*Indeksacja!AD$61</f>
        <v>327608.84337018745</v>
      </c>
      <c r="AE60" s="281">
        <f>AD60*Indeksacja!AE$61</f>
        <v>335313.50450560666</v>
      </c>
      <c r="AF60" s="281">
        <f>AE60*Indeksacja!AF$61</f>
        <v>342543.92946697731</v>
      </c>
      <c r="AG60" s="281">
        <f>AF60*Indeksacja!AG$61</f>
        <v>349492.86246268376</v>
      </c>
      <c r="AH60" s="281">
        <f>AG60*Indeksacja!AH$61</f>
        <v>356681.85055921209</v>
      </c>
      <c r="AI60" s="281">
        <f>AH60*Indeksacja!AI$61</f>
        <v>364078.3964829577</v>
      </c>
      <c r="AJ60" s="281">
        <f>AI60*Indeksacja!AJ$61</f>
        <v>371101.8553220802</v>
      </c>
      <c r="AK60" s="281">
        <f>AJ60*Indeksacja!AK$61</f>
        <v>378014.74727396842</v>
      </c>
      <c r="AL60" s="281">
        <f>AK60*Indeksacja!AL$61</f>
        <v>384780.7113821829</v>
      </c>
      <c r="AM60" s="281">
        <f>AL60*Indeksacja!AM$61</f>
        <v>391402.33274061995</v>
      </c>
      <c r="AN60" s="281">
        <f>AM60*Indeksacja!AN$61</f>
        <v>397545.18869439414</v>
      </c>
      <c r="AO60" s="281">
        <f>AN60*Indeksacja!AO$61</f>
        <v>403175.80324301356</v>
      </c>
      <c r="AP60" s="281">
        <f>AO60*Indeksacja!AP$61</f>
        <v>408590.29006660217</v>
      </c>
      <c r="AQ60" s="281">
        <f>AP60*Indeksacja!AQ$61</f>
        <v>413445.66203780612</v>
      </c>
      <c r="AR60" s="281">
        <f>AQ60*Indeksacja!AR$61</f>
        <v>418029.61234257679</v>
      </c>
      <c r="AS60" s="281">
        <f>AR60*Indeksacja!AS$61</f>
        <v>422688.6750406177</v>
      </c>
      <c r="AT60" s="281">
        <f>AS60*Indeksacja!AT$61</f>
        <v>427449.28366161534</v>
      </c>
      <c r="AU60" s="281">
        <f>AT60*Indeksacja!AU$61</f>
        <v>432286.35865679762</v>
      </c>
      <c r="AV60" s="281">
        <f>AU60*Indeksacja!AV$61</f>
        <v>437200.7132886058</v>
      </c>
      <c r="AW60" s="281">
        <f>AV60*Indeksacja!AW$61</f>
        <v>442198.23463817197</v>
      </c>
      <c r="AX60" s="281">
        <f>AW60*Indeksacja!AX$61</f>
        <v>446904.27927823545</v>
      </c>
      <c r="AY60" s="281">
        <f>AX60*Indeksacja!AY$61</f>
        <v>451693.3707460867</v>
      </c>
      <c r="AZ60" s="281">
        <f>AY60*Indeksacja!AZ$61</f>
        <v>456570.33421373501</v>
      </c>
      <c r="BA60" s="281">
        <f>AZ60*Indeksacja!BA$61</f>
        <v>461570.72931292001</v>
      </c>
      <c r="BB60" s="281">
        <f>BA60*Indeksacja!BB$61</f>
        <v>467040.63740174944</v>
      </c>
      <c r="BC60" s="281">
        <f>BB60*Indeksacja!BC$61</f>
        <v>472623.21224814636</v>
      </c>
      <c r="BD60" s="281">
        <f>BC60*Indeksacja!BD$61</f>
        <v>478326.23271027964</v>
      </c>
      <c r="BE60" s="281">
        <f>BD60*Indeksacja!BE$61</f>
        <v>484151.82883089309</v>
      </c>
      <c r="BF60" s="281">
        <f>BE60*Indeksacja!BF$61</f>
        <v>490493.31094511645</v>
      </c>
      <c r="BG60" s="281">
        <f>BF60*Indeksacja!BG$61</f>
        <v>497007.95767431287</v>
      </c>
      <c r="BH60" s="281">
        <f>BG60*Indeksacja!BH$61</f>
        <v>503667.6044817993</v>
      </c>
      <c r="BI60" s="281">
        <f>BH60*Indeksacja!BI$61</f>
        <v>510852.03769242635</v>
      </c>
    </row>
    <row r="61" spans="1:61" ht="18">
      <c r="A61" s="265" t="s">
        <v>150</v>
      </c>
      <c r="B61" s="266"/>
      <c r="C61" s="264"/>
      <c r="D61" s="264"/>
      <c r="E61" s="264"/>
      <c r="F61" s="264"/>
      <c r="G61" s="264"/>
      <c r="H61" s="264"/>
      <c r="I61" s="264"/>
      <c r="J61" s="264"/>
      <c r="K61" s="264"/>
      <c r="L61" s="264"/>
      <c r="M61" s="264"/>
      <c r="N61" s="264"/>
      <c r="O61" s="264"/>
      <c r="P61" s="264"/>
      <c r="Q61" s="267">
        <f>X15*$B$35*$Q$38*$Q$42/100</f>
        <v>15473.652480000001</v>
      </c>
      <c r="R61" s="268">
        <f>Q61*Indeksacja!R$61</f>
        <v>16427.066998261482</v>
      </c>
      <c r="S61" s="263">
        <f>R61*Indeksacja!S$61</f>
        <v>17478.124800210586</v>
      </c>
      <c r="T61" s="263">
        <f>S61*Indeksacja!T$61</f>
        <v>18524.284001830052</v>
      </c>
      <c r="U61" s="263">
        <f>T61*Indeksacja!U$61</f>
        <v>18845.278341706322</v>
      </c>
      <c r="V61" s="263">
        <f>U61*Indeksacja!V$61</f>
        <v>20904.917545378277</v>
      </c>
      <c r="W61" s="263">
        <f>V61*Indeksacja!W$61</f>
        <v>24990.63919585081</v>
      </c>
      <c r="X61" s="263">
        <f>W61*Indeksacja!X$61</f>
        <v>27884.268999565415</v>
      </c>
      <c r="Y61" s="263">
        <f>X61*Indeksacja!Y$61</f>
        <v>28648.553814485276</v>
      </c>
      <c r="Z61" s="263">
        <f>Y61*Indeksacja!Z$61</f>
        <v>29572.691289843275</v>
      </c>
      <c r="AA61" s="263">
        <f>Z61*Indeksacja!AA$61</f>
        <v>30458.019191368548</v>
      </c>
      <c r="AB61" s="263">
        <f>AA61*Indeksacja!AB$61</f>
        <v>31211.931913799672</v>
      </c>
      <c r="AC61" s="263">
        <f>AB61*Indeksacja!AC$61</f>
        <v>31987.216508373749</v>
      </c>
      <c r="AD61" s="263">
        <f>AC61*Indeksacja!AD$61</f>
        <v>32760.884337018746</v>
      </c>
      <c r="AE61" s="263">
        <f>AD61*Indeksacja!AE$61</f>
        <v>33531.350450560669</v>
      </c>
      <c r="AF61" s="263">
        <f>AE61*Indeksacja!AF$61</f>
        <v>34254.392946697735</v>
      </c>
      <c r="AG61" s="263">
        <f>AF61*Indeksacja!AG$61</f>
        <v>34949.286246268377</v>
      </c>
      <c r="AH61" s="263">
        <f>AG61*Indeksacja!AH$61</f>
        <v>35668.185055921211</v>
      </c>
      <c r="AI61" s="263">
        <f>AH61*Indeksacja!AI$61</f>
        <v>36407.839648295776</v>
      </c>
      <c r="AJ61" s="263">
        <f>AI61*Indeksacja!AJ$61</f>
        <v>37110.18553220803</v>
      </c>
      <c r="AK61" s="263">
        <f>AJ61*Indeksacja!AK$61</f>
        <v>37801.474727396853</v>
      </c>
      <c r="AL61" s="263">
        <f>AK61*Indeksacja!AL$61</f>
        <v>38478.0711382183</v>
      </c>
      <c r="AM61" s="263">
        <f>AL61*Indeksacja!AM$61</f>
        <v>39140.233274062004</v>
      </c>
      <c r="AN61" s="263">
        <f>AM61*Indeksacja!AN$61</f>
        <v>39754.518869439424</v>
      </c>
      <c r="AO61" s="263">
        <f>AN61*Indeksacja!AO$61</f>
        <v>40317.580324301372</v>
      </c>
      <c r="AP61" s="263">
        <f>AO61*Indeksacja!AP$61</f>
        <v>40859.029006660239</v>
      </c>
      <c r="AQ61" s="263">
        <f>AP61*Indeksacja!AQ$61</f>
        <v>41344.566203780632</v>
      </c>
      <c r="AR61" s="263">
        <f>AQ61*Indeksacja!AR$61</f>
        <v>41802.961234257695</v>
      </c>
      <c r="AS61" s="263">
        <f>AR61*Indeksacja!AS$61</f>
        <v>42268.867504061782</v>
      </c>
      <c r="AT61" s="263">
        <f>AS61*Indeksacja!AT$61</f>
        <v>42744.928366161541</v>
      </c>
      <c r="AU61" s="263">
        <f>AT61*Indeksacja!AU$61</f>
        <v>43228.635865679767</v>
      </c>
      <c r="AV61" s="263">
        <f>AU61*Indeksacja!AV$61</f>
        <v>43720.071328860584</v>
      </c>
      <c r="AW61" s="263">
        <f>AV61*Indeksacja!AW$61</f>
        <v>44219.8234638172</v>
      </c>
      <c r="AX61" s="263">
        <f>AW61*Indeksacja!AX$61</f>
        <v>44690.427927823548</v>
      </c>
      <c r="AY61" s="263">
        <f>AX61*Indeksacja!AY$61</f>
        <v>45169.337074608673</v>
      </c>
      <c r="AZ61" s="263">
        <f>AY61*Indeksacja!AZ$61</f>
        <v>45657.033421373504</v>
      </c>
      <c r="BA61" s="263">
        <f>AZ61*Indeksacja!BA$61</f>
        <v>46157.072931292001</v>
      </c>
      <c r="BB61" s="263">
        <f>BA61*Indeksacja!BB$61</f>
        <v>46704.063740174941</v>
      </c>
      <c r="BC61" s="263">
        <f>BB61*Indeksacja!BC$61</f>
        <v>47262.32122481463</v>
      </c>
      <c r="BD61" s="263">
        <f>BC61*Indeksacja!BD$61</f>
        <v>47832.623271027958</v>
      </c>
      <c r="BE61" s="263">
        <f>BD61*Indeksacja!BE$61</f>
        <v>48415.182883089299</v>
      </c>
      <c r="BF61" s="263">
        <f>BE61*Indeksacja!BF$61</f>
        <v>49049.331094511639</v>
      </c>
      <c r="BG61" s="263">
        <f>BF61*Indeksacja!BG$61</f>
        <v>49700.795767431278</v>
      </c>
      <c r="BH61" s="263">
        <f>BG61*Indeksacja!BH$61</f>
        <v>50366.760448179921</v>
      </c>
      <c r="BI61" s="263">
        <f>BH61*Indeksacja!BI$61</f>
        <v>51085.203769242624</v>
      </c>
    </row>
    <row r="62" spans="1:61" ht="15" customHeight="1">
      <c r="A62" s="762" t="s">
        <v>723</v>
      </c>
      <c r="B62" s="762"/>
      <c r="C62" s="762"/>
      <c r="D62" s="762"/>
      <c r="E62" s="762"/>
      <c r="F62" s="762"/>
      <c r="G62" s="762"/>
      <c r="H62" s="762"/>
      <c r="I62" s="762"/>
      <c r="J62" s="762"/>
      <c r="K62" s="762"/>
      <c r="L62" s="762"/>
      <c r="M62" s="762"/>
      <c r="N62" s="762"/>
      <c r="O62" s="762"/>
      <c r="P62" s="762"/>
      <c r="Q62" s="762"/>
    </row>
    <row r="63" spans="1:61" s="672" customFormat="1" ht="15" customHeight="1">
      <c r="A63" s="754"/>
      <c r="B63" s="754"/>
      <c r="C63" s="754"/>
      <c r="D63" s="754"/>
      <c r="E63" s="754"/>
      <c r="F63" s="754"/>
      <c r="G63" s="754"/>
      <c r="H63" s="754"/>
      <c r="I63" s="754"/>
      <c r="J63" s="754"/>
      <c r="K63" s="754"/>
      <c r="L63" s="754"/>
      <c r="M63" s="754"/>
      <c r="N63" s="754"/>
      <c r="O63" s="754"/>
      <c r="P63" s="754"/>
      <c r="Q63" s="754"/>
    </row>
    <row r="64" spans="1:61" s="540" customFormat="1" ht="15" customHeight="1">
      <c r="A64" s="540" t="s">
        <v>724</v>
      </c>
    </row>
    <row r="65" spans="1:1" s="540" customFormat="1" ht="15" customHeight="1">
      <c r="A65" s="540" t="s">
        <v>725</v>
      </c>
    </row>
    <row r="66" spans="1:1" ht="15" customHeight="1"/>
    <row r="67" spans="1:1" ht="15" hidden="1" customHeight="1"/>
    <row r="68" spans="1:1" ht="15" hidden="1" customHeight="1"/>
    <row r="69" spans="1:1" ht="15" hidden="1" customHeight="1"/>
    <row r="70" spans="1:1" ht="15" hidden="1" customHeight="1"/>
    <row r="71" spans="1:1" ht="15" hidden="1" customHeight="1"/>
    <row r="72" spans="1:1" ht="15" hidden="1" customHeight="1"/>
    <row r="73" spans="1:1" ht="15" hidden="1" customHeight="1"/>
    <row r="74" spans="1:1" ht="15" hidden="1" customHeight="1"/>
    <row r="75" spans="1:1" ht="15" hidden="1" customHeight="1"/>
    <row r="76" spans="1:1" ht="15" hidden="1" customHeight="1"/>
    <row r="77" spans="1:1" ht="15" hidden="1" customHeight="1"/>
    <row r="78" spans="1:1" ht="15" hidden="1" customHeight="1"/>
    <row r="79" spans="1:1" ht="15" hidden="1" customHeight="1"/>
    <row r="80" spans="1:1" ht="15" hidden="1" customHeight="1"/>
    <row r="81" ht="15" hidden="1" customHeight="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row r="90" ht="15" hidden="1" customHeight="1"/>
    <row r="91" ht="15" hidden="1" customHeight="1"/>
    <row r="92" ht="15" hidden="1" customHeight="1"/>
    <row r="93" ht="15" hidden="1" customHeight="1"/>
    <row r="94" ht="15" hidden="1" customHeight="1"/>
    <row r="95" ht="15" hidden="1" customHeight="1"/>
    <row r="96" ht="15" hidden="1" customHeight="1"/>
    <row r="97" ht="15" hidden="1" customHeight="1"/>
    <row r="98" ht="15" hidden="1" customHeight="1"/>
    <row r="99" ht="15" hidden="1" customHeight="1"/>
    <row r="100" ht="15" hidden="1" customHeight="1"/>
    <row r="101" ht="15" hidden="1" customHeight="1"/>
    <row r="102" ht="15" hidden="1" customHeight="1"/>
    <row r="103" ht="15" hidden="1" customHeight="1"/>
    <row r="104" ht="15" hidden="1" customHeight="1"/>
    <row r="105" ht="15" hidden="1" customHeight="1"/>
    <row r="106" ht="15" hidden="1" customHeight="1"/>
    <row r="107" ht="15" hidden="1" customHeight="1"/>
    <row r="108" ht="15" hidden="1" customHeight="1"/>
    <row r="109" ht="15" hidden="1" customHeight="1"/>
    <row r="110" ht="15" hidden="1" customHeight="1"/>
    <row r="111" ht="15" hidden="1" customHeight="1"/>
    <row r="112" ht="15" hidden="1" customHeight="1"/>
    <row r="113" ht="15" hidden="1" customHeight="1"/>
  </sheetData>
  <mergeCells count="14">
    <mergeCell ref="S11:T11"/>
    <mergeCell ref="U11:W11"/>
    <mergeCell ref="S12:T12"/>
    <mergeCell ref="U12:W12"/>
    <mergeCell ref="A49:Q50"/>
    <mergeCell ref="A19:Q20"/>
    <mergeCell ref="A22:Q24"/>
    <mergeCell ref="A45:Q46"/>
    <mergeCell ref="A62:Q63"/>
    <mergeCell ref="A26:Q27"/>
    <mergeCell ref="A4:Q5"/>
    <mergeCell ref="A51:A52"/>
    <mergeCell ref="A11:A13"/>
    <mergeCell ref="A9:Q10"/>
  </mergeCells>
  <hyperlinks>
    <hyperlink ref="A47" location="Indeksacja!A29" display="Nota metodologiczna"/>
  </hyperlinks>
  <pageMargins left="0.7" right="0.7" top="0.75" bottom="0.75"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255"/>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0" defaultRowHeight="15" zeroHeight="1" outlineLevelRow="1" outlineLevelCol="1"/>
  <cols>
    <col min="1" max="1" width="29.28515625" customWidth="1"/>
    <col min="2" max="2" width="10.28515625" customWidth="1"/>
    <col min="3" max="15" width="1.7109375" hidden="1" customWidth="1" outlineLevel="1"/>
    <col min="16" max="16" width="13.7109375" customWidth="1" collapsed="1"/>
    <col min="17" max="18" width="13.7109375" customWidth="1"/>
    <col min="19" max="19" width="14.7109375" customWidth="1"/>
    <col min="20" max="61" width="10" bestFit="1" customWidth="1"/>
    <col min="62" max="62" width="9.140625" customWidth="1"/>
    <col min="63" max="16384" width="9.140625" hidden="1"/>
  </cols>
  <sheetData>
    <row r="1" spans="1:61" ht="21">
      <c r="A1" s="4" t="s">
        <v>206</v>
      </c>
      <c r="B1" s="5"/>
      <c r="C1" s="88"/>
      <c r="D1" s="88"/>
      <c r="E1" s="88"/>
      <c r="F1" s="88"/>
      <c r="G1" s="88"/>
      <c r="H1" s="88"/>
      <c r="I1" s="88"/>
      <c r="J1" s="88"/>
      <c r="K1" s="88"/>
      <c r="L1" s="5"/>
      <c r="M1" s="88"/>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row>
    <row r="2" spans="1:61">
      <c r="A2" s="350" t="str">
        <f>Indeksacja!$A$2</f>
        <v>Dla roku bazowego 2024 właściwe do zastosowania w analizie są wartości kosztów jednostkowych określone według poziomu cenowego z końca roku poprzedniego, tzn. 2023.</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0"/>
      <c r="BC2" s="350"/>
      <c r="BD2" s="350"/>
      <c r="BE2" s="350"/>
      <c r="BF2" s="350"/>
      <c r="BG2" s="350"/>
      <c r="BH2" s="350"/>
      <c r="BI2" s="350"/>
    </row>
    <row r="3" spans="1:61"/>
    <row r="4" spans="1:61">
      <c r="A4" s="187" t="str">
        <f>'VOC eksploatacja samochody'!$A$4</f>
        <v>Prognoza zmian struktury floty pojazdów drogowych w Polsce pod względem rodzaju paliwa</v>
      </c>
    </row>
    <row r="5" spans="1:61">
      <c r="A5" s="350" t="s">
        <v>522</v>
      </c>
    </row>
    <row r="6" spans="1:61">
      <c r="A6" s="754" t="s">
        <v>524</v>
      </c>
      <c r="B6" s="754"/>
      <c r="C6" s="754"/>
      <c r="D6" s="754"/>
      <c r="E6" s="754"/>
      <c r="F6" s="754"/>
      <c r="G6" s="754"/>
      <c r="H6" s="754"/>
      <c r="I6" s="754"/>
      <c r="J6" s="754"/>
      <c r="K6" s="754"/>
      <c r="L6" s="754"/>
      <c r="M6" s="754"/>
      <c r="N6" s="754"/>
      <c r="O6" s="754"/>
      <c r="P6" s="754"/>
      <c r="Q6" s="754"/>
      <c r="R6" s="754"/>
      <c r="S6" s="754"/>
      <c r="T6" s="754"/>
      <c r="U6" s="754"/>
      <c r="V6" s="754"/>
    </row>
    <row r="7" spans="1:61" s="672" customFormat="1">
      <c r="A7" s="754"/>
      <c r="B7" s="754"/>
      <c r="C7" s="754"/>
      <c r="D7" s="754"/>
      <c r="E7" s="754"/>
      <c r="F7" s="754"/>
      <c r="G7" s="754"/>
      <c r="H7" s="754"/>
      <c r="I7" s="754"/>
      <c r="J7" s="754"/>
      <c r="K7" s="754"/>
      <c r="L7" s="754"/>
      <c r="M7" s="754"/>
      <c r="N7" s="754"/>
      <c r="O7" s="754"/>
      <c r="P7" s="754"/>
      <c r="Q7" s="754"/>
      <c r="R7" s="754"/>
      <c r="S7" s="754"/>
      <c r="T7" s="754"/>
      <c r="U7" s="754"/>
      <c r="V7" s="754"/>
    </row>
    <row r="8" spans="1:61" s="471" customFormat="1"/>
    <row r="9" spans="1:61">
      <c r="A9" s="113" t="s">
        <v>523</v>
      </c>
      <c r="B9" s="626"/>
    </row>
    <row r="10" spans="1:61" s="672" customFormat="1">
      <c r="A10"/>
      <c r="B10"/>
      <c r="C10"/>
      <c r="D10"/>
      <c r="E10"/>
      <c r="F10"/>
      <c r="G10"/>
      <c r="H10"/>
      <c r="I10"/>
      <c r="J10"/>
      <c r="K10"/>
      <c r="L10"/>
      <c r="M10"/>
      <c r="N10"/>
      <c r="O10"/>
      <c r="P10"/>
    </row>
    <row r="11" spans="1:61" s="672" customFormat="1">
      <c r="A11"/>
      <c r="B11"/>
      <c r="C11"/>
      <c r="D11"/>
      <c r="E11"/>
      <c r="F11"/>
      <c r="G11"/>
      <c r="H11"/>
      <c r="I11"/>
      <c r="J11"/>
      <c r="K11"/>
      <c r="L11"/>
      <c r="M11"/>
      <c r="N11"/>
      <c r="O11"/>
      <c r="P11"/>
    </row>
    <row r="12" spans="1:61" s="672" customFormat="1">
      <c r="A12"/>
      <c r="B12"/>
      <c r="C12"/>
      <c r="D12"/>
      <c r="E12"/>
      <c r="F12"/>
      <c r="G12"/>
      <c r="H12"/>
      <c r="I12"/>
      <c r="J12"/>
      <c r="K12"/>
      <c r="L12"/>
      <c r="M12"/>
      <c r="N12"/>
      <c r="O12"/>
      <c r="P12"/>
    </row>
    <row r="13" spans="1:61" s="672" customFormat="1">
      <c r="A13"/>
      <c r="B13"/>
      <c r="C13"/>
      <c r="D13"/>
      <c r="E13"/>
      <c r="F13"/>
      <c r="G13"/>
      <c r="H13"/>
      <c r="I13"/>
      <c r="J13"/>
      <c r="K13"/>
      <c r="L13"/>
      <c r="M13"/>
      <c r="N13"/>
      <c r="O13"/>
      <c r="P13"/>
    </row>
    <row r="14" spans="1:61" s="672" customFormat="1">
      <c r="A14"/>
      <c r="B14"/>
      <c r="C14"/>
      <c r="D14"/>
      <c r="E14"/>
      <c r="F14"/>
      <c r="G14"/>
      <c r="H14"/>
      <c r="I14"/>
      <c r="J14"/>
      <c r="K14"/>
      <c r="L14"/>
      <c r="M14"/>
      <c r="N14"/>
      <c r="O14"/>
      <c r="P14"/>
    </row>
    <row r="15" spans="1:61" s="672" customFormat="1">
      <c r="A15"/>
      <c r="B15"/>
      <c r="C15"/>
      <c r="D15"/>
      <c r="E15"/>
      <c r="F15"/>
      <c r="G15"/>
      <c r="H15"/>
      <c r="I15"/>
      <c r="J15"/>
      <c r="K15"/>
      <c r="L15"/>
      <c r="M15"/>
      <c r="N15"/>
      <c r="O15"/>
      <c r="P15"/>
    </row>
    <row r="16" spans="1:61" s="672" customFormat="1">
      <c r="A16"/>
      <c r="B16"/>
      <c r="C16"/>
      <c r="D16"/>
      <c r="E16"/>
      <c r="F16"/>
      <c r="G16"/>
      <c r="H16"/>
      <c r="I16"/>
      <c r="J16"/>
      <c r="K16"/>
      <c r="L16"/>
      <c r="M16"/>
      <c r="N16"/>
      <c r="O16"/>
      <c r="P16"/>
    </row>
    <row r="17" spans="1:25" s="672" customFormat="1">
      <c r="A17"/>
      <c r="B17"/>
      <c r="C17"/>
      <c r="D17"/>
      <c r="E17"/>
      <c r="F17"/>
      <c r="G17"/>
      <c r="H17"/>
      <c r="I17"/>
      <c r="J17"/>
      <c r="K17"/>
      <c r="L17"/>
      <c r="M17"/>
      <c r="N17"/>
      <c r="O17"/>
      <c r="P17"/>
    </row>
    <row r="18" spans="1:25" s="350" customFormat="1" hidden="1" outlineLevel="1">
      <c r="A18" s="1" t="s">
        <v>207</v>
      </c>
    </row>
    <row r="19" spans="1:25" s="350" customFormat="1" hidden="1" outlineLevel="1">
      <c r="Q19" s="833" t="s">
        <v>191</v>
      </c>
      <c r="R19" s="834"/>
      <c r="S19" s="835"/>
      <c r="U19" s="833" t="s">
        <v>62</v>
      </c>
      <c r="V19" s="834"/>
      <c r="W19" s="835"/>
    </row>
    <row r="20" spans="1:25" ht="45" hidden="1" outlineLevel="1">
      <c r="A20" s="378" t="s">
        <v>213</v>
      </c>
      <c r="B20" s="378" t="s">
        <v>214</v>
      </c>
      <c r="C20" s="378"/>
      <c r="D20" s="378"/>
      <c r="E20" s="378"/>
      <c r="F20" s="378"/>
      <c r="G20" s="378"/>
      <c r="H20" s="378"/>
      <c r="I20" s="378"/>
      <c r="J20" s="378"/>
      <c r="K20" s="378"/>
      <c r="L20" s="378"/>
      <c r="M20" s="378"/>
      <c r="N20" s="378"/>
      <c r="O20" s="378"/>
      <c r="P20" s="379" t="s">
        <v>215</v>
      </c>
      <c r="Q20" s="389" t="s">
        <v>229</v>
      </c>
      <c r="R20" s="389" t="s">
        <v>219</v>
      </c>
      <c r="S20" s="389" t="s">
        <v>220</v>
      </c>
      <c r="T20" s="390" t="s">
        <v>223</v>
      </c>
      <c r="U20" s="389" t="s">
        <v>229</v>
      </c>
      <c r="V20" s="389" t="s">
        <v>219</v>
      </c>
      <c r="W20" s="389" t="s">
        <v>220</v>
      </c>
      <c r="X20" s="473" t="s">
        <v>255</v>
      </c>
      <c r="Y20" s="473" t="s">
        <v>256</v>
      </c>
    </row>
    <row r="21" spans="1:25" s="350" customFormat="1" hidden="1" outlineLevel="1">
      <c r="A21" s="380"/>
      <c r="B21" s="380"/>
      <c r="C21" s="380"/>
      <c r="D21" s="380"/>
      <c r="E21" s="380"/>
      <c r="F21" s="380"/>
      <c r="G21" s="380"/>
      <c r="H21" s="380"/>
      <c r="I21" s="380"/>
      <c r="J21" s="380"/>
      <c r="K21" s="380"/>
      <c r="L21" s="380"/>
      <c r="M21" s="380"/>
      <c r="N21" s="380"/>
      <c r="O21" s="380"/>
      <c r="P21" s="396"/>
      <c r="Q21" s="396"/>
      <c r="R21" s="396"/>
      <c r="S21" s="396"/>
      <c r="T21" s="397"/>
      <c r="U21" s="398"/>
      <c r="V21" s="396"/>
      <c r="W21" s="396"/>
      <c r="X21" s="474"/>
      <c r="Y21" s="474"/>
    </row>
    <row r="22" spans="1:25" s="350" customFormat="1" hidden="1" outlineLevel="1">
      <c r="A22" s="388" t="s">
        <v>224</v>
      </c>
      <c r="B22" s="388"/>
      <c r="C22" s="388"/>
      <c r="D22" s="388"/>
      <c r="E22" s="388"/>
      <c r="F22" s="388"/>
      <c r="G22" s="388"/>
      <c r="H22" s="388"/>
      <c r="I22" s="388"/>
      <c r="J22" s="388"/>
      <c r="K22" s="388"/>
      <c r="L22" s="388"/>
      <c r="M22" s="388"/>
      <c r="N22" s="388"/>
      <c r="O22" s="388"/>
      <c r="P22" s="399"/>
      <c r="Q22" s="399"/>
      <c r="R22" s="399"/>
      <c r="S22" s="399"/>
      <c r="T22" s="400"/>
      <c r="U22" s="401"/>
      <c r="V22" s="399"/>
      <c r="W22" s="399"/>
      <c r="X22" s="475"/>
      <c r="Y22" s="475"/>
    </row>
    <row r="23" spans="1:25" hidden="1" outlineLevel="1">
      <c r="A23" s="858" t="s">
        <v>71</v>
      </c>
      <c r="B23" s="859" t="s">
        <v>208</v>
      </c>
      <c r="C23" s="380"/>
      <c r="D23" s="380"/>
      <c r="E23" s="380"/>
      <c r="F23" s="380"/>
      <c r="G23" s="380"/>
      <c r="H23" s="380"/>
      <c r="I23" s="380"/>
      <c r="J23" s="380"/>
      <c r="K23" s="380"/>
      <c r="L23" s="380"/>
      <c r="M23" s="380"/>
      <c r="N23" s="380"/>
      <c r="O23" s="380"/>
      <c r="P23" s="380" t="s">
        <v>217</v>
      </c>
      <c r="Q23" s="381">
        <v>0.74928113584844391</v>
      </c>
      <c r="R23" s="381">
        <v>4.2226853003254371E-2</v>
      </c>
      <c r="S23" s="381">
        <v>5.8921190237099129E-3</v>
      </c>
      <c r="T23" s="855">
        <f>'Hałas-zagreg.śred.PL'!R13</f>
        <v>0.11584907925593915</v>
      </c>
      <c r="U23" s="381">
        <f>IFERROR(Q23*(100%+$T$23),"brak")</f>
        <v>0.83608466554033045</v>
      </c>
      <c r="V23" s="381">
        <f>IFERROR(R23*(100%+$T$23),"brak")</f>
        <v>4.7118795043557281E-2</v>
      </c>
      <c r="W23" s="381">
        <f>IFERROR(S23*(100%+$T$23),"brak")</f>
        <v>6.5747155874731102E-3</v>
      </c>
      <c r="X23" s="476">
        <f>IFERROR(U23/V23,"brak")</f>
        <v>17.744186046511629</v>
      </c>
      <c r="Y23" s="476">
        <f>IFERROR(W23/V23,"brak")</f>
        <v>0.13953488372093026</v>
      </c>
    </row>
    <row r="24" spans="1:25" hidden="1" outlineLevel="1">
      <c r="A24" s="858"/>
      <c r="B24" s="860"/>
      <c r="C24" s="386"/>
      <c r="D24" s="386"/>
      <c r="E24" s="386"/>
      <c r="F24" s="386"/>
      <c r="G24" s="386"/>
      <c r="H24" s="386"/>
      <c r="I24" s="386"/>
      <c r="J24" s="386"/>
      <c r="K24" s="386"/>
      <c r="L24" s="386"/>
      <c r="M24" s="386"/>
      <c r="N24" s="386"/>
      <c r="O24" s="386"/>
      <c r="P24" s="386" t="s">
        <v>218</v>
      </c>
      <c r="Q24" s="387">
        <v>1.8157546791399379</v>
      </c>
      <c r="R24" s="387">
        <v>0.11686036063691324</v>
      </c>
      <c r="S24" s="387">
        <v>1.3748277721989798E-2</v>
      </c>
      <c r="T24" s="856"/>
      <c r="U24" s="387">
        <f t="shared" ref="U24:U26" si="0">IFERROR(Q24*(100%+$T$23),"brak")</f>
        <v>2.0261081868729631</v>
      </c>
      <c r="V24" s="387">
        <f t="shared" ref="V24:V26" si="1">IFERROR(R24*(100%+$T$23),"brak")</f>
        <v>0.13039852581821665</v>
      </c>
      <c r="W24" s="387">
        <f t="shared" ref="W24:W26" si="2">IFERROR(S24*(100%+$T$23),"brak")</f>
        <v>1.5341003037437257E-2</v>
      </c>
      <c r="X24" s="477">
        <f t="shared" ref="X24:X42" si="3">IFERROR(U24/V24,"brak")</f>
        <v>15.537815126050422</v>
      </c>
      <c r="Y24" s="477">
        <f t="shared" ref="Y24:Y42" si="4">IFERROR(W24/V24,"brak")</f>
        <v>0.11764705882352944</v>
      </c>
    </row>
    <row r="25" spans="1:25" hidden="1" outlineLevel="1">
      <c r="A25" s="858"/>
      <c r="B25" s="861" t="s">
        <v>209</v>
      </c>
      <c r="C25" s="384"/>
      <c r="D25" s="384"/>
      <c r="E25" s="384"/>
      <c r="F25" s="384"/>
      <c r="G25" s="384"/>
      <c r="H25" s="384"/>
      <c r="I25" s="384"/>
      <c r="J25" s="384"/>
      <c r="K25" s="384"/>
      <c r="L25" s="384"/>
      <c r="M25" s="384"/>
      <c r="N25" s="384"/>
      <c r="O25" s="384"/>
      <c r="P25" s="384" t="s">
        <v>217</v>
      </c>
      <c r="Q25" s="385">
        <v>1.3640255539888448</v>
      </c>
      <c r="R25" s="385">
        <v>7.6597547308228861E-2</v>
      </c>
      <c r="S25" s="385">
        <v>1.1784238047419826E-2</v>
      </c>
      <c r="T25" s="856"/>
      <c r="U25" s="385">
        <f t="shared" si="0"/>
        <v>1.522046658500025</v>
      </c>
      <c r="V25" s="385">
        <f t="shared" si="1"/>
        <v>8.5471302637150415E-2</v>
      </c>
      <c r="W25" s="385">
        <f t="shared" si="2"/>
        <v>1.314943117494622E-2</v>
      </c>
      <c r="X25" s="478">
        <f t="shared" si="3"/>
        <v>17.80769230769231</v>
      </c>
      <c r="Y25" s="478">
        <f t="shared" si="4"/>
        <v>0.15384615384615388</v>
      </c>
    </row>
    <row r="26" spans="1:25" hidden="1" outlineLevel="1">
      <c r="A26" s="858"/>
      <c r="B26" s="859"/>
      <c r="C26" s="382"/>
      <c r="D26" s="382"/>
      <c r="E26" s="382"/>
      <c r="F26" s="382"/>
      <c r="G26" s="382"/>
      <c r="H26" s="382"/>
      <c r="I26" s="382"/>
      <c r="J26" s="382"/>
      <c r="K26" s="382"/>
      <c r="L26" s="382"/>
      <c r="M26" s="382"/>
      <c r="N26" s="382"/>
      <c r="O26" s="382"/>
      <c r="P26" s="382" t="s">
        <v>218</v>
      </c>
      <c r="Q26" s="383">
        <v>3.307442811975831</v>
      </c>
      <c r="R26" s="383">
        <v>0.21408032452812681</v>
      </c>
      <c r="S26" s="383">
        <v>2.4550495932124636E-2</v>
      </c>
      <c r="T26" s="857"/>
      <c r="U26" s="383">
        <f t="shared" si="0"/>
        <v>3.6906070164349054</v>
      </c>
      <c r="V26" s="383">
        <f t="shared" si="1"/>
        <v>0.23888133301152295</v>
      </c>
      <c r="W26" s="383">
        <f t="shared" si="2"/>
        <v>2.7394648281137957E-2</v>
      </c>
      <c r="X26" s="479">
        <f t="shared" si="3"/>
        <v>15.449541284403672</v>
      </c>
      <c r="Y26" s="479">
        <f t="shared" si="4"/>
        <v>0.11467889908256883</v>
      </c>
    </row>
    <row r="27" spans="1:25" hidden="1" outlineLevel="1">
      <c r="A27" s="858" t="s">
        <v>222</v>
      </c>
      <c r="B27" s="859" t="s">
        <v>208</v>
      </c>
      <c r="C27" s="380"/>
      <c r="D27" s="380"/>
      <c r="E27" s="380"/>
      <c r="F27" s="380"/>
      <c r="G27" s="380"/>
      <c r="H27" s="380"/>
      <c r="I27" s="380"/>
      <c r="J27" s="380"/>
      <c r="K27" s="380"/>
      <c r="L27" s="380"/>
      <c r="M27" s="380"/>
      <c r="N27" s="380"/>
      <c r="O27" s="380"/>
      <c r="P27" s="380" t="s">
        <v>217</v>
      </c>
      <c r="Q27" s="381">
        <v>8.3547017543272073</v>
      </c>
      <c r="R27" s="381">
        <v>0.46917794914551303</v>
      </c>
      <c r="S27" s="381">
        <v>6.9066804696547579E-2</v>
      </c>
      <c r="T27" s="855">
        <f>'Hałas-zagreg.śred.PL'!R16</f>
        <v>0.24111680750265169</v>
      </c>
      <c r="U27" s="381">
        <f>IFERROR(Q27*(100%+$T$27),"brak")</f>
        <v>10.369160768967387</v>
      </c>
      <c r="V27" s="381">
        <f>IFERROR(R27*(100%+$T$27),"brak")</f>
        <v>0.58230463839412061</v>
      </c>
      <c r="W27" s="381">
        <f>IFERROR(S27*(100%+$T$27),"brak")</f>
        <v>8.5719972149388285E-2</v>
      </c>
      <c r="X27" s="476">
        <f t="shared" si="3"/>
        <v>17.80710659898477</v>
      </c>
      <c r="Y27" s="476">
        <f t="shared" si="4"/>
        <v>0.14720812182741111</v>
      </c>
    </row>
    <row r="28" spans="1:25" hidden="1" outlineLevel="1">
      <c r="A28" s="858"/>
      <c r="B28" s="860"/>
      <c r="C28" s="386"/>
      <c r="D28" s="386"/>
      <c r="E28" s="386"/>
      <c r="F28" s="386"/>
      <c r="G28" s="386"/>
      <c r="H28" s="386"/>
      <c r="I28" s="386"/>
      <c r="J28" s="386"/>
      <c r="K28" s="386"/>
      <c r="L28" s="386"/>
      <c r="M28" s="386"/>
      <c r="N28" s="386"/>
      <c r="O28" s="386"/>
      <c r="P28" s="386" t="s">
        <v>218</v>
      </c>
      <c r="Q28" s="387">
        <v>20.256817494706404</v>
      </c>
      <c r="R28" s="387">
        <v>1.3086968683018243</v>
      </c>
      <c r="S28" s="387">
        <v>0.15123248614588872</v>
      </c>
      <c r="T28" s="856"/>
      <c r="U28" s="387">
        <f t="shared" ref="U28:U30" si="5">IFERROR(Q28*(100%+$T$27),"brak")</f>
        <v>25.141076659193875</v>
      </c>
      <c r="V28" s="387">
        <f t="shared" ref="V28:V30" si="6">IFERROR(R28*(100%+$T$27),"brak")</f>
        <v>1.6242456791754785</v>
      </c>
      <c r="W28" s="387">
        <f t="shared" ref="W28:W30" si="7">IFERROR(S28*(100%+$T$27),"brak")</f>
        <v>0.18769718039607441</v>
      </c>
      <c r="X28" s="477">
        <f t="shared" si="3"/>
        <v>15.4786169244768</v>
      </c>
      <c r="Y28" s="477">
        <f t="shared" si="4"/>
        <v>0.11555959963603277</v>
      </c>
    </row>
    <row r="29" spans="1:25" hidden="1" outlineLevel="1">
      <c r="A29" s="858"/>
      <c r="B29" s="861" t="s">
        <v>209</v>
      </c>
      <c r="C29" s="384"/>
      <c r="D29" s="384"/>
      <c r="E29" s="384"/>
      <c r="F29" s="384"/>
      <c r="G29" s="384"/>
      <c r="H29" s="384"/>
      <c r="I29" s="384"/>
      <c r="J29" s="384"/>
      <c r="K29" s="384"/>
      <c r="L29" s="384"/>
      <c r="M29" s="384"/>
      <c r="N29" s="384"/>
      <c r="O29" s="384"/>
      <c r="P29" s="384" t="s">
        <v>217</v>
      </c>
      <c r="Q29" s="385">
        <v>15.21732236581348</v>
      </c>
      <c r="R29" s="385">
        <v>0.85499940986415823</v>
      </c>
      <c r="S29" s="385">
        <v>0.1262255396178284</v>
      </c>
      <c r="T29" s="856"/>
      <c r="U29" s="385">
        <f t="shared" si="5"/>
        <v>18.886474553397125</v>
      </c>
      <c r="V29" s="385">
        <f t="shared" si="6"/>
        <v>1.0611541379872553</v>
      </c>
      <c r="W29" s="385">
        <f t="shared" si="7"/>
        <v>0.15666063875577868</v>
      </c>
      <c r="X29" s="478">
        <f t="shared" si="3"/>
        <v>17.798050139275766</v>
      </c>
      <c r="Y29" s="478">
        <f t="shared" si="4"/>
        <v>0.14763231197771592</v>
      </c>
    </row>
    <row r="30" spans="1:25" hidden="1" outlineLevel="1">
      <c r="A30" s="858"/>
      <c r="B30" s="859"/>
      <c r="C30" s="382"/>
      <c r="D30" s="382"/>
      <c r="E30" s="382"/>
      <c r="F30" s="382"/>
      <c r="G30" s="382"/>
      <c r="H30" s="382"/>
      <c r="I30" s="382"/>
      <c r="J30" s="382"/>
      <c r="K30" s="382"/>
      <c r="L30" s="382"/>
      <c r="M30" s="382"/>
      <c r="N30" s="382"/>
      <c r="O30" s="382"/>
      <c r="P30" s="382" t="s">
        <v>218</v>
      </c>
      <c r="Q30" s="383">
        <v>36.89358177773169</v>
      </c>
      <c r="R30" s="383">
        <v>2.3828047620308923</v>
      </c>
      <c r="S30" s="383">
        <v>0.27507641180866371</v>
      </c>
      <c r="T30" s="857"/>
      <c r="U30" s="383">
        <f t="shared" si="5"/>
        <v>45.789244433316362</v>
      </c>
      <c r="V30" s="383">
        <f t="shared" si="6"/>
        <v>2.9573390391538967</v>
      </c>
      <c r="W30" s="383">
        <f t="shared" si="7"/>
        <v>0.34140195804325346</v>
      </c>
      <c r="X30" s="479">
        <f t="shared" si="3"/>
        <v>15.483258370814594</v>
      </c>
      <c r="Y30" s="479">
        <f t="shared" si="4"/>
        <v>0.11544227886056972</v>
      </c>
    </row>
    <row r="31" spans="1:25" ht="15" hidden="1" customHeight="1" outlineLevel="1">
      <c r="A31" s="858" t="s">
        <v>759</v>
      </c>
      <c r="B31" s="859" t="s">
        <v>208</v>
      </c>
      <c r="C31" s="380"/>
      <c r="D31" s="380"/>
      <c r="E31" s="380"/>
      <c r="F31" s="380"/>
      <c r="G31" s="380"/>
      <c r="H31" s="380"/>
      <c r="I31" s="380"/>
      <c r="J31" s="380"/>
      <c r="K31" s="380"/>
      <c r="L31" s="380"/>
      <c r="M31" s="380"/>
      <c r="N31" s="380"/>
      <c r="O31" s="380"/>
      <c r="P31" s="380" t="s">
        <v>217</v>
      </c>
      <c r="Q31" s="381">
        <v>7.1470148123105632</v>
      </c>
      <c r="R31" s="381">
        <v>0.4011175373287334</v>
      </c>
      <c r="S31" s="381">
        <v>5.9980192497754534E-2</v>
      </c>
      <c r="T31" s="855">
        <f>'Hałas-zagreg.śred.PL'!R21</f>
        <v>-8.3762501760418426E-2</v>
      </c>
      <c r="U31" s="381">
        <f>IFERROR(Q31*(100%+$T$31),"brak")</f>
        <v>6.5483629715126632</v>
      </c>
      <c r="V31" s="381">
        <f>IFERROR(R31*(100%+$T$31),"brak")</f>
        <v>0.36751892890210064</v>
      </c>
      <c r="W31" s="381">
        <f>IFERROR(S31*(100%+$T$31),"brak")</f>
        <v>5.4956101518071135E-2</v>
      </c>
      <c r="X31" s="476">
        <f t="shared" si="3"/>
        <v>17.817757009345797</v>
      </c>
      <c r="Y31" s="476">
        <f t="shared" si="4"/>
        <v>0.14953271028037388</v>
      </c>
    </row>
    <row r="32" spans="1:25" hidden="1" outlineLevel="1">
      <c r="A32" s="858"/>
      <c r="B32" s="860"/>
      <c r="C32" s="386"/>
      <c r="D32" s="386"/>
      <c r="E32" s="386"/>
      <c r="F32" s="386"/>
      <c r="G32" s="386"/>
      <c r="H32" s="386"/>
      <c r="I32" s="386"/>
      <c r="J32" s="386"/>
      <c r="K32" s="386"/>
      <c r="L32" s="386"/>
      <c r="M32" s="386"/>
      <c r="N32" s="386"/>
      <c r="O32" s="386"/>
      <c r="P32" s="386" t="s">
        <v>218</v>
      </c>
      <c r="Q32" s="387">
        <v>17.328652488804394</v>
      </c>
      <c r="R32" s="387">
        <v>1.119005466286233</v>
      </c>
      <c r="S32" s="387">
        <v>0.1293322900732832</v>
      </c>
      <c r="T32" s="856"/>
      <c r="U32" s="387">
        <f t="shared" ref="U32:U34" si="8">IFERROR(Q32*(100%+$T$31),"brak")</f>
        <v>15.877161204205237</v>
      </c>
      <c r="V32" s="387">
        <f t="shared" ref="V32:V34" si="9">IFERROR(R32*(100%+$T$31),"brak")</f>
        <v>1.0252747689465145</v>
      </c>
      <c r="W32" s="387">
        <f t="shared" ref="W32:W34" si="10">IFERROR(S32*(100%+$T$31),"brak")</f>
        <v>0.11849909389834087</v>
      </c>
      <c r="X32" s="477">
        <f t="shared" si="3"/>
        <v>15.485762144053602</v>
      </c>
      <c r="Y32" s="477">
        <f t="shared" si="4"/>
        <v>0.11557788944723618</v>
      </c>
    </row>
    <row r="33" spans="1:25" hidden="1" outlineLevel="1">
      <c r="A33" s="858"/>
      <c r="B33" s="861" t="s">
        <v>209</v>
      </c>
      <c r="C33" s="384"/>
      <c r="D33" s="384"/>
      <c r="E33" s="384"/>
      <c r="F33" s="384"/>
      <c r="G33" s="384"/>
      <c r="H33" s="384"/>
      <c r="I33" s="384"/>
      <c r="J33" s="384"/>
      <c r="K33" s="384"/>
      <c r="L33" s="384"/>
      <c r="M33" s="384"/>
      <c r="N33" s="384"/>
      <c r="O33" s="384"/>
      <c r="P33" s="384" t="s">
        <v>217</v>
      </c>
      <c r="Q33" s="385">
        <v>13.017576153028287</v>
      </c>
      <c r="R33" s="385">
        <v>0.73100859606638335</v>
      </c>
      <c r="S33" s="385">
        <v>0.10871409890218008</v>
      </c>
      <c r="T33" s="856"/>
      <c r="U33" s="385">
        <f t="shared" si="8"/>
        <v>11.927191407593874</v>
      </c>
      <c r="V33" s="385">
        <f t="shared" si="9"/>
        <v>0.66977748725149189</v>
      </c>
      <c r="W33" s="385">
        <f t="shared" si="10"/>
        <v>9.9607934001503917E-2</v>
      </c>
      <c r="X33" s="478">
        <f t="shared" si="3"/>
        <v>17.807692307692307</v>
      </c>
      <c r="Y33" s="478">
        <f t="shared" si="4"/>
        <v>0.14871794871794872</v>
      </c>
    </row>
    <row r="34" spans="1:25" hidden="1" outlineLevel="1">
      <c r="A34" s="858"/>
      <c r="B34" s="859"/>
      <c r="C34" s="382"/>
      <c r="D34" s="382"/>
      <c r="E34" s="382"/>
      <c r="F34" s="382"/>
      <c r="G34" s="382"/>
      <c r="H34" s="382"/>
      <c r="I34" s="382"/>
      <c r="J34" s="382"/>
      <c r="K34" s="382"/>
      <c r="L34" s="382"/>
      <c r="M34" s="382"/>
      <c r="N34" s="382"/>
      <c r="O34" s="382"/>
      <c r="P34" s="382" t="s">
        <v>218</v>
      </c>
      <c r="Q34" s="383">
        <v>31.560827539912211</v>
      </c>
      <c r="R34" s="383">
        <v>2.0393265449236542</v>
      </c>
      <c r="S34" s="383">
        <v>0.23617200795990845</v>
      </c>
      <c r="T34" s="857"/>
      <c r="U34" s="383">
        <f t="shared" si="8"/>
        <v>28.91721366754005</v>
      </c>
      <c r="V34" s="383">
        <f t="shared" si="9"/>
        <v>1.8685074516144184</v>
      </c>
      <c r="W34" s="383">
        <f t="shared" si="10"/>
        <v>0.21638964972740507</v>
      </c>
      <c r="X34" s="479">
        <f t="shared" si="3"/>
        <v>15.476102941176469</v>
      </c>
      <c r="Y34" s="479">
        <f t="shared" si="4"/>
        <v>0.11580882352941176</v>
      </c>
    </row>
    <row r="35" spans="1:25" hidden="1" outlineLevel="1">
      <c r="A35" s="858" t="s">
        <v>174</v>
      </c>
      <c r="B35" s="859" t="s">
        <v>208</v>
      </c>
      <c r="C35" s="380"/>
      <c r="D35" s="380"/>
      <c r="E35" s="380"/>
      <c r="F35" s="380"/>
      <c r="G35" s="380"/>
      <c r="H35" s="380"/>
      <c r="I35" s="380"/>
      <c r="J35" s="380"/>
      <c r="K35" s="380"/>
      <c r="L35" s="380"/>
      <c r="M35" s="380"/>
      <c r="N35" s="380"/>
      <c r="O35" s="380"/>
      <c r="P35" s="380" t="s">
        <v>217</v>
      </c>
      <c r="Q35" s="381">
        <v>1.6733108120910969</v>
      </c>
      <c r="R35" s="381">
        <v>9.391253967676233E-2</v>
      </c>
      <c r="S35" s="381">
        <v>1.4042996587179413E-2</v>
      </c>
      <c r="T35" s="855">
        <f>'Hałas-zagreg.śred.PL'!R24</f>
        <v>0.1322017607112283</v>
      </c>
      <c r="U35" s="381">
        <f>IFERROR(Q35*(100%+$T$35),"brak")</f>
        <v>1.8945254476666751</v>
      </c>
      <c r="V35" s="381">
        <f>IFERROR(R35*(100%+$T$35),"brak")</f>
        <v>0.10632794277489339</v>
      </c>
      <c r="W35" s="381">
        <f>IFERROR(S35*(100%+$T$35),"brak")</f>
        <v>1.58995054616663E-2</v>
      </c>
      <c r="X35" s="476">
        <f t="shared" si="3"/>
        <v>17.817757009345794</v>
      </c>
      <c r="Y35" s="476">
        <f t="shared" si="4"/>
        <v>0.14953271028037382</v>
      </c>
    </row>
    <row r="36" spans="1:25" hidden="1" outlineLevel="1">
      <c r="A36" s="858"/>
      <c r="B36" s="860"/>
      <c r="C36" s="386"/>
      <c r="D36" s="386"/>
      <c r="E36" s="386"/>
      <c r="F36" s="386"/>
      <c r="G36" s="386"/>
      <c r="H36" s="386"/>
      <c r="I36" s="386"/>
      <c r="J36" s="386"/>
      <c r="K36" s="386"/>
      <c r="L36" s="386"/>
      <c r="M36" s="386"/>
      <c r="N36" s="386"/>
      <c r="O36" s="386"/>
      <c r="P36" s="386" t="s">
        <v>218</v>
      </c>
      <c r="Q36" s="387">
        <v>4.0571094827648029</v>
      </c>
      <c r="R36" s="387">
        <v>0.2619896550795659</v>
      </c>
      <c r="S36" s="387">
        <v>3.0280211391105608E-2</v>
      </c>
      <c r="T36" s="856"/>
      <c r="U36" s="387">
        <f t="shared" ref="U36:U38" si="11">IFERROR(Q36*(100%+$T$35),"brak")</f>
        <v>4.5934664997845305</v>
      </c>
      <c r="V36" s="387">
        <f t="shared" ref="V36:V38" si="12">IFERROR(R36*(100%+$T$35),"brak")</f>
        <v>0.29662514876921187</v>
      </c>
      <c r="W36" s="387">
        <f t="shared" ref="W36:W38" si="13">IFERROR(S36*(100%+$T$35),"brak")</f>
        <v>3.4283308651717956E-2</v>
      </c>
      <c r="X36" s="477">
        <f t="shared" si="3"/>
        <v>15.485762144053608</v>
      </c>
      <c r="Y36" s="477">
        <f t="shared" si="4"/>
        <v>0.11557788944723618</v>
      </c>
    </row>
    <row r="37" spans="1:25" hidden="1" outlineLevel="1">
      <c r="A37" s="858"/>
      <c r="B37" s="861" t="s">
        <v>209</v>
      </c>
      <c r="C37" s="384"/>
      <c r="D37" s="384"/>
      <c r="E37" s="384"/>
      <c r="F37" s="384"/>
      <c r="G37" s="384"/>
      <c r="H37" s="384"/>
      <c r="I37" s="384"/>
      <c r="J37" s="384"/>
      <c r="K37" s="384"/>
      <c r="L37" s="384"/>
      <c r="M37" s="384"/>
      <c r="N37" s="384"/>
      <c r="O37" s="384"/>
      <c r="P37" s="384" t="s">
        <v>217</v>
      </c>
      <c r="Q37" s="385">
        <v>3.0477691030612823</v>
      </c>
      <c r="R37" s="385">
        <v>0.17114902090624909</v>
      </c>
      <c r="S37" s="385">
        <v>2.5452931314262683E-2</v>
      </c>
      <c r="T37" s="856"/>
      <c r="U37" s="385">
        <f t="shared" si="11"/>
        <v>3.4506895447272647</v>
      </c>
      <c r="V37" s="385">
        <f t="shared" si="12"/>
        <v>0.19377522281405804</v>
      </c>
      <c r="W37" s="385">
        <f t="shared" si="13"/>
        <v>2.8817853649270166E-2</v>
      </c>
      <c r="X37" s="478">
        <f t="shared" si="3"/>
        <v>17.80769230769231</v>
      </c>
      <c r="Y37" s="478">
        <f t="shared" si="4"/>
        <v>0.14871794871794869</v>
      </c>
    </row>
    <row r="38" spans="1:25" hidden="1" outlineLevel="1">
      <c r="A38" s="858"/>
      <c r="B38" s="859"/>
      <c r="C38" s="382"/>
      <c r="D38" s="382"/>
      <c r="E38" s="382"/>
      <c r="F38" s="382"/>
      <c r="G38" s="382"/>
      <c r="H38" s="382"/>
      <c r="I38" s="382"/>
      <c r="J38" s="382"/>
      <c r="K38" s="382"/>
      <c r="L38" s="382"/>
      <c r="M38" s="382"/>
      <c r="N38" s="382"/>
      <c r="O38" s="382"/>
      <c r="P38" s="382" t="s">
        <v>218</v>
      </c>
      <c r="Q38" s="383">
        <v>7.3892492667164671</v>
      </c>
      <c r="R38" s="383">
        <v>0.47746188396410005</v>
      </c>
      <c r="S38" s="383">
        <v>5.5294299062018937E-2</v>
      </c>
      <c r="T38" s="857"/>
      <c r="U38" s="383">
        <f t="shared" si="11"/>
        <v>8.366121030110536</v>
      </c>
      <c r="V38" s="383">
        <f t="shared" si="12"/>
        <v>0.5405831856966542</v>
      </c>
      <c r="W38" s="383">
        <f t="shared" si="13"/>
        <v>6.260430275531105E-2</v>
      </c>
      <c r="X38" s="479">
        <f t="shared" si="3"/>
        <v>15.476102941176471</v>
      </c>
      <c r="Y38" s="479">
        <f t="shared" si="4"/>
        <v>0.11580882352941176</v>
      </c>
    </row>
    <row r="39" spans="1:25" ht="15" hidden="1" customHeight="1" outlineLevel="1">
      <c r="A39" s="858" t="s">
        <v>695</v>
      </c>
      <c r="B39" s="859" t="s">
        <v>208</v>
      </c>
      <c r="C39" s="380"/>
      <c r="D39" s="380"/>
      <c r="E39" s="380"/>
      <c r="F39" s="380"/>
      <c r="G39" s="380"/>
      <c r="H39" s="380"/>
      <c r="I39" s="380"/>
      <c r="J39" s="380"/>
      <c r="K39" s="380"/>
      <c r="L39" s="380"/>
      <c r="M39" s="380"/>
      <c r="N39" s="380"/>
      <c r="O39" s="380"/>
      <c r="P39" s="380" t="s">
        <v>217</v>
      </c>
      <c r="Q39" s="381">
        <v>8.1493335953638528</v>
      </c>
      <c r="R39" s="381">
        <v>0.45956897652543693</v>
      </c>
      <c r="S39" s="381">
        <v>6.9469729009659073E-2</v>
      </c>
      <c r="T39" s="855">
        <f>'Hałas-zagreg.śred.PL'!R25</f>
        <v>-0.26839739185773975</v>
      </c>
      <c r="U39" s="381">
        <f>IFERROR(Q39*(100%+$T$39),"brak")</f>
        <v>5.9620737129895369</v>
      </c>
      <c r="V39" s="381">
        <f>IFERROR(R39*(100%+$T$39),"brak")</f>
        <v>0.33622186184727881</v>
      </c>
      <c r="W39" s="381">
        <f>IFERROR(S39*(100%+$T$39),"brak")</f>
        <v>5.0824234930402612E-2</v>
      </c>
      <c r="X39" s="476">
        <f t="shared" si="3"/>
        <v>17.732558139534884</v>
      </c>
      <c r="Y39" s="476">
        <f t="shared" si="4"/>
        <v>0.15116279069767441</v>
      </c>
    </row>
    <row r="40" spans="1:25" hidden="1" outlineLevel="1">
      <c r="A40" s="858"/>
      <c r="B40" s="860"/>
      <c r="C40" s="386"/>
      <c r="D40" s="386"/>
      <c r="E40" s="386"/>
      <c r="F40" s="386"/>
      <c r="G40" s="386"/>
      <c r="H40" s="386"/>
      <c r="I40" s="386"/>
      <c r="J40" s="386"/>
      <c r="K40" s="386"/>
      <c r="L40" s="386"/>
      <c r="M40" s="386"/>
      <c r="N40" s="386"/>
      <c r="O40" s="386"/>
      <c r="P40" s="386" t="s">
        <v>218</v>
      </c>
      <c r="Q40" s="387">
        <v>19.761465990593788</v>
      </c>
      <c r="R40" s="387">
        <v>1.2771742487160402</v>
      </c>
      <c r="S40" s="387">
        <v>0.1496271086361888</v>
      </c>
      <c r="T40" s="856"/>
      <c r="U40" s="387">
        <f t="shared" ref="U40:U42" si="14">IFERROR(Q40*(100%+$T$39),"brak")</f>
        <v>14.457540059432988</v>
      </c>
      <c r="V40" s="387">
        <f t="shared" ref="V40:V42" si="15">IFERROR(R40*(100%+$T$39),"brak")</f>
        <v>0.93438401141278671</v>
      </c>
      <c r="W40" s="387">
        <f t="shared" ref="W40:W42" si="16">IFERROR(S40*(100%+$T$39),"brak")</f>
        <v>0.10946758292702104</v>
      </c>
      <c r="X40" s="477">
        <f t="shared" si="3"/>
        <v>15.47280334728033</v>
      </c>
      <c r="Y40" s="477">
        <f t="shared" si="4"/>
        <v>0.11715481171548117</v>
      </c>
    </row>
    <row r="41" spans="1:25" hidden="1" outlineLevel="1">
      <c r="A41" s="858"/>
      <c r="B41" s="861" t="s">
        <v>209</v>
      </c>
      <c r="C41" s="384"/>
      <c r="D41" s="384"/>
      <c r="E41" s="384"/>
      <c r="F41" s="384"/>
      <c r="G41" s="384"/>
      <c r="H41" s="384"/>
      <c r="I41" s="384"/>
      <c r="J41" s="384"/>
      <c r="K41" s="384"/>
      <c r="L41" s="384"/>
      <c r="M41" s="384"/>
      <c r="N41" s="384"/>
      <c r="O41" s="384"/>
      <c r="P41" s="384" t="s">
        <v>217</v>
      </c>
      <c r="Q41" s="385">
        <v>14.845146706833301</v>
      </c>
      <c r="R41" s="385">
        <v>0.83363674811590893</v>
      </c>
      <c r="S41" s="385">
        <v>0.12290798209401221</v>
      </c>
      <c r="T41" s="856"/>
      <c r="U41" s="385">
        <f t="shared" si="14"/>
        <v>10.860748048973727</v>
      </c>
      <c r="V41" s="385">
        <f t="shared" si="15"/>
        <v>0.60989081916483134</v>
      </c>
      <c r="W41" s="385">
        <f t="shared" si="16"/>
        <v>8.9919800261481553E-2</v>
      </c>
      <c r="X41" s="478">
        <f t="shared" si="3"/>
        <v>17.807692307692307</v>
      </c>
      <c r="Y41" s="478">
        <f t="shared" si="4"/>
        <v>0.14743589743589744</v>
      </c>
    </row>
    <row r="42" spans="1:25" hidden="1" outlineLevel="1">
      <c r="A42" s="858"/>
      <c r="B42" s="859"/>
      <c r="C42" s="382"/>
      <c r="D42" s="382"/>
      <c r="E42" s="382"/>
      <c r="F42" s="382"/>
      <c r="G42" s="382"/>
      <c r="H42" s="382"/>
      <c r="I42" s="382"/>
      <c r="J42" s="382"/>
      <c r="K42" s="382"/>
      <c r="L42" s="382"/>
      <c r="M42" s="382"/>
      <c r="N42" s="382"/>
      <c r="O42" s="382"/>
      <c r="P42" s="382" t="s">
        <v>218</v>
      </c>
      <c r="Q42" s="383">
        <v>35.990663452311836</v>
      </c>
      <c r="R42" s="383">
        <v>2.3245640091693613</v>
      </c>
      <c r="S42" s="383">
        <v>0.26719126542176569</v>
      </c>
      <c r="T42" s="857"/>
      <c r="U42" s="383">
        <f t="shared" si="14"/>
        <v>26.330863250481663</v>
      </c>
      <c r="V42" s="383">
        <f t="shared" si="15"/>
        <v>1.7006570919019337</v>
      </c>
      <c r="W42" s="383">
        <f t="shared" si="16"/>
        <v>0.19547782665539468</v>
      </c>
      <c r="X42" s="479">
        <f t="shared" si="3"/>
        <v>15.482758620689655</v>
      </c>
      <c r="Y42" s="479">
        <f t="shared" si="4"/>
        <v>0.11494252873563218</v>
      </c>
    </row>
    <row r="43" spans="1:25" s="350" customFormat="1" hidden="1" outlineLevel="1">
      <c r="A43" s="380"/>
      <c r="B43" s="380"/>
      <c r="C43" s="380"/>
      <c r="D43" s="380"/>
      <c r="E43" s="380"/>
      <c r="F43" s="380"/>
      <c r="G43" s="380"/>
      <c r="H43" s="380"/>
      <c r="I43" s="380"/>
      <c r="J43" s="380"/>
      <c r="K43" s="380"/>
      <c r="L43" s="380"/>
      <c r="M43" s="380"/>
      <c r="N43" s="380"/>
      <c r="O43" s="380"/>
      <c r="P43" s="396"/>
      <c r="Q43" s="396"/>
      <c r="R43" s="396"/>
      <c r="S43" s="396"/>
      <c r="T43" s="397"/>
      <c r="U43" s="398"/>
      <c r="V43" s="396"/>
      <c r="W43" s="396"/>
      <c r="X43" s="474"/>
      <c r="Y43" s="474"/>
    </row>
    <row r="44" spans="1:25" s="350" customFormat="1" hidden="1" outlineLevel="1">
      <c r="A44" s="388" t="s">
        <v>225</v>
      </c>
      <c r="B44" s="388"/>
      <c r="C44" s="388"/>
      <c r="D44" s="388"/>
      <c r="E44" s="388"/>
      <c r="F44" s="388"/>
      <c r="G44" s="388"/>
      <c r="H44" s="388"/>
      <c r="I44" s="388"/>
      <c r="J44" s="388"/>
      <c r="K44" s="388"/>
      <c r="L44" s="388"/>
      <c r="M44" s="388"/>
      <c r="N44" s="388"/>
      <c r="O44" s="388"/>
      <c r="P44" s="399"/>
      <c r="Q44" s="399"/>
      <c r="R44" s="399"/>
      <c r="S44" s="399"/>
      <c r="T44" s="400"/>
      <c r="U44" s="401"/>
      <c r="V44" s="399"/>
      <c r="W44" s="399"/>
      <c r="X44" s="475"/>
      <c r="Y44" s="475"/>
    </row>
    <row r="45" spans="1:25" ht="15" hidden="1" customHeight="1" outlineLevel="1">
      <c r="A45" s="862" t="s">
        <v>210</v>
      </c>
      <c r="B45" s="868" t="s">
        <v>208</v>
      </c>
      <c r="C45" s="380"/>
      <c r="D45" s="380"/>
      <c r="E45" s="380"/>
      <c r="F45" s="380"/>
      <c r="G45" s="380"/>
      <c r="H45" s="380"/>
      <c r="I45" s="380"/>
      <c r="J45" s="380"/>
      <c r="K45" s="380"/>
      <c r="L45" s="380"/>
      <c r="M45" s="380"/>
      <c r="N45" s="380"/>
      <c r="O45" s="380"/>
      <c r="P45" s="380" t="s">
        <v>217</v>
      </c>
      <c r="Q45" s="381">
        <v>38.048844232624646</v>
      </c>
      <c r="R45" s="381">
        <v>21.167478597867525</v>
      </c>
      <c r="S45" s="381">
        <v>3.0524262257056853</v>
      </c>
      <c r="T45" s="855" t="s">
        <v>204</v>
      </c>
      <c r="U45" s="381" t="str">
        <f>IFERROR(Q45*(100%+$T$45),"brak")</f>
        <v>brak</v>
      </c>
      <c r="V45" s="381" t="str">
        <f>IFERROR(R45*(100%+$T$45),"brak")</f>
        <v>brak</v>
      </c>
      <c r="W45" s="381" t="str">
        <f>IFERROR(S45*(100%+$T$45),"brak")</f>
        <v>brak</v>
      </c>
      <c r="X45" s="476" t="str">
        <f t="shared" ref="X45:X56" si="17">IFERROR(U45/V45,"brak")</f>
        <v>brak</v>
      </c>
      <c r="Y45" s="476" t="str">
        <f t="shared" ref="Y45:Y56" si="18">IFERROR(W45/V45,"brak")</f>
        <v>brak</v>
      </c>
    </row>
    <row r="46" spans="1:25" hidden="1" outlineLevel="1">
      <c r="A46" s="863"/>
      <c r="B46" s="869"/>
      <c r="C46" s="386"/>
      <c r="D46" s="386"/>
      <c r="E46" s="386"/>
      <c r="F46" s="386"/>
      <c r="G46" s="386"/>
      <c r="H46" s="386"/>
      <c r="I46" s="386"/>
      <c r="J46" s="386"/>
      <c r="K46" s="386"/>
      <c r="L46" s="386"/>
      <c r="M46" s="386"/>
      <c r="N46" s="386"/>
      <c r="O46" s="386"/>
      <c r="P46" s="386" t="s">
        <v>218</v>
      </c>
      <c r="Q46" s="387">
        <v>62.398670089318465</v>
      </c>
      <c r="R46" s="387">
        <v>34.713866880574457</v>
      </c>
      <c r="S46" s="387">
        <v>5.0275255482211278</v>
      </c>
      <c r="T46" s="856"/>
      <c r="U46" s="387" t="str">
        <f t="shared" ref="U46:U48" si="19">IFERROR(Q46*(100%+$T$45),"brak")</f>
        <v>brak</v>
      </c>
      <c r="V46" s="387" t="str">
        <f t="shared" ref="V46:V48" si="20">IFERROR(R46*(100%+$T$45),"brak")</f>
        <v>brak</v>
      </c>
      <c r="W46" s="387" t="str">
        <f t="shared" ref="W46:W48" si="21">IFERROR(S46*(100%+$T$45),"brak")</f>
        <v>brak</v>
      </c>
      <c r="X46" s="477" t="str">
        <f t="shared" si="17"/>
        <v>brak</v>
      </c>
      <c r="Y46" s="477" t="str">
        <f t="shared" si="18"/>
        <v>brak</v>
      </c>
    </row>
    <row r="47" spans="1:25" hidden="1" outlineLevel="1">
      <c r="A47" s="863"/>
      <c r="B47" s="870" t="s">
        <v>209</v>
      </c>
      <c r="C47" s="384"/>
      <c r="D47" s="384"/>
      <c r="E47" s="384"/>
      <c r="F47" s="384"/>
      <c r="G47" s="384"/>
      <c r="H47" s="384"/>
      <c r="I47" s="384"/>
      <c r="J47" s="384"/>
      <c r="K47" s="384"/>
      <c r="L47" s="384"/>
      <c r="M47" s="384"/>
      <c r="N47" s="384"/>
      <c r="O47" s="384"/>
      <c r="P47" s="384" t="s">
        <v>217</v>
      </c>
      <c r="Q47" s="385">
        <v>69.248179277283867</v>
      </c>
      <c r="R47" s="385">
        <v>38.52441203815475</v>
      </c>
      <c r="S47" s="385">
        <v>5.5462385016090225</v>
      </c>
      <c r="T47" s="856"/>
      <c r="U47" s="385" t="str">
        <f t="shared" si="19"/>
        <v>brak</v>
      </c>
      <c r="V47" s="385" t="str">
        <f t="shared" si="20"/>
        <v>brak</v>
      </c>
      <c r="W47" s="385" t="str">
        <f t="shared" si="21"/>
        <v>brak</v>
      </c>
      <c r="X47" s="478" t="str">
        <f t="shared" si="17"/>
        <v>brak</v>
      </c>
      <c r="Y47" s="478" t="str">
        <f t="shared" si="18"/>
        <v>brak</v>
      </c>
    </row>
    <row r="48" spans="1:25" hidden="1" outlineLevel="1">
      <c r="A48" s="864"/>
      <c r="B48" s="861"/>
      <c r="C48" s="382"/>
      <c r="D48" s="382"/>
      <c r="E48" s="382"/>
      <c r="F48" s="382"/>
      <c r="G48" s="382"/>
      <c r="H48" s="382"/>
      <c r="I48" s="382"/>
      <c r="J48" s="382"/>
      <c r="K48" s="382"/>
      <c r="L48" s="382"/>
      <c r="M48" s="382"/>
      <c r="N48" s="382"/>
      <c r="O48" s="382"/>
      <c r="P48" s="382" t="s">
        <v>218</v>
      </c>
      <c r="Q48" s="383">
        <v>113.63803778836328</v>
      </c>
      <c r="R48" s="383">
        <v>63.223128818701404</v>
      </c>
      <c r="S48" s="383">
        <v>9.1572786771170556</v>
      </c>
      <c r="T48" s="857"/>
      <c r="U48" s="383" t="str">
        <f t="shared" si="19"/>
        <v>brak</v>
      </c>
      <c r="V48" s="383" t="str">
        <f t="shared" si="20"/>
        <v>brak</v>
      </c>
      <c r="W48" s="383" t="str">
        <f t="shared" si="21"/>
        <v>brak</v>
      </c>
      <c r="X48" s="479" t="str">
        <f t="shared" si="17"/>
        <v>brak</v>
      </c>
      <c r="Y48" s="479" t="str">
        <f t="shared" si="18"/>
        <v>brak</v>
      </c>
    </row>
    <row r="49" spans="1:25" ht="15" hidden="1" customHeight="1" outlineLevel="1">
      <c r="A49" s="862" t="s">
        <v>211</v>
      </c>
      <c r="B49" s="868" t="s">
        <v>208</v>
      </c>
      <c r="C49" s="380"/>
      <c r="D49" s="380"/>
      <c r="E49" s="380"/>
      <c r="F49" s="380"/>
      <c r="G49" s="380"/>
      <c r="H49" s="380"/>
      <c r="I49" s="380"/>
      <c r="J49" s="380"/>
      <c r="K49" s="380"/>
      <c r="L49" s="380"/>
      <c r="M49" s="380"/>
      <c r="N49" s="380"/>
      <c r="O49" s="380"/>
      <c r="P49" s="380" t="s">
        <v>217</v>
      </c>
      <c r="Q49" s="381">
        <v>59.672812287759726</v>
      </c>
      <c r="R49" s="381">
        <v>26.318576598531578</v>
      </c>
      <c r="S49" s="381">
        <v>3.7784095116703749</v>
      </c>
      <c r="T49" s="865">
        <f>AVERAGE('Hałas-zagreg.śred.PL'!R28:R29)</f>
        <v>-0.59334252988789782</v>
      </c>
      <c r="U49" s="381">
        <f>IFERROR(Q49*(100%+$T$49),"brak")</f>
        <v>24.266394879414733</v>
      </c>
      <c r="V49" s="381">
        <f>IFERROR(R49*(100%+$T$49),"brak")</f>
        <v>10.702645776510428</v>
      </c>
      <c r="W49" s="381">
        <f>IFERROR(S49*(100%+$T$49),"brak")</f>
        <v>1.536518453063378</v>
      </c>
      <c r="X49" s="476">
        <f t="shared" si="17"/>
        <v>2.2673267326732676</v>
      </c>
      <c r="Y49" s="476">
        <f t="shared" si="18"/>
        <v>0.14356435643564353</v>
      </c>
    </row>
    <row r="50" spans="1:25" hidden="1" outlineLevel="1">
      <c r="A50" s="863"/>
      <c r="B50" s="869"/>
      <c r="C50" s="386"/>
      <c r="D50" s="386"/>
      <c r="E50" s="386"/>
      <c r="F50" s="386"/>
      <c r="G50" s="386"/>
      <c r="H50" s="386"/>
      <c r="I50" s="386"/>
      <c r="J50" s="386"/>
      <c r="K50" s="386"/>
      <c r="L50" s="386"/>
      <c r="M50" s="386"/>
      <c r="N50" s="386"/>
      <c r="O50" s="386"/>
      <c r="P50" s="386" t="s">
        <v>218</v>
      </c>
      <c r="Q50" s="387">
        <v>97.928402343526471</v>
      </c>
      <c r="R50" s="387">
        <v>43.191129417887218</v>
      </c>
      <c r="S50" s="387">
        <v>6.2539191917302768</v>
      </c>
      <c r="T50" s="866"/>
      <c r="U50" s="387">
        <f t="shared" ref="U50:U52" si="22">IFERROR(Q50*(100%+$T$49),"brak")</f>
        <v>39.82331634913853</v>
      </c>
      <c r="V50" s="387">
        <f t="shared" ref="V50:V52" si="23">IFERROR(R50*(100%+$T$49),"brak")</f>
        <v>17.56399542036241</v>
      </c>
      <c r="W50" s="387">
        <f t="shared" ref="W50:W52" si="24">IFERROR(S50*(100%+$T$49),"brak")</f>
        <v>2.5432029567945573</v>
      </c>
      <c r="X50" s="477">
        <f t="shared" si="17"/>
        <v>2.2673267326732671</v>
      </c>
      <c r="Y50" s="477">
        <f t="shared" si="18"/>
        <v>0.14479638009049775</v>
      </c>
    </row>
    <row r="51" spans="1:25" hidden="1" outlineLevel="1">
      <c r="A51" s="863"/>
      <c r="B51" s="870" t="s">
        <v>209</v>
      </c>
      <c r="C51" s="384"/>
      <c r="D51" s="384"/>
      <c r="E51" s="384"/>
      <c r="F51" s="384"/>
      <c r="G51" s="384"/>
      <c r="H51" s="384"/>
      <c r="I51" s="384"/>
      <c r="J51" s="384"/>
      <c r="K51" s="384"/>
      <c r="L51" s="384"/>
      <c r="M51" s="384"/>
      <c r="N51" s="384"/>
      <c r="O51" s="384"/>
      <c r="P51" s="384" t="s">
        <v>217</v>
      </c>
      <c r="Q51" s="385">
        <v>108.66184595631354</v>
      </c>
      <c r="R51" s="385">
        <v>47.92499880607194</v>
      </c>
      <c r="S51" s="385">
        <v>6.9053691075355141</v>
      </c>
      <c r="T51" s="866"/>
      <c r="U51" s="385">
        <f t="shared" si="22"/>
        <v>44.188151374305427</v>
      </c>
      <c r="V51" s="385">
        <f t="shared" si="23"/>
        <v>19.489058769602732</v>
      </c>
      <c r="W51" s="385">
        <f t="shared" si="24"/>
        <v>2.8081199314606571</v>
      </c>
      <c r="X51" s="478">
        <f t="shared" si="17"/>
        <v>2.2673312188491166</v>
      </c>
      <c r="Y51" s="478">
        <f t="shared" si="18"/>
        <v>0.1440869959220662</v>
      </c>
    </row>
    <row r="52" spans="1:25" hidden="1" outlineLevel="1">
      <c r="A52" s="864"/>
      <c r="B52" s="861"/>
      <c r="C52" s="382"/>
      <c r="D52" s="382"/>
      <c r="E52" s="382"/>
      <c r="F52" s="382"/>
      <c r="G52" s="382"/>
      <c r="H52" s="382"/>
      <c r="I52" s="382"/>
      <c r="J52" s="382"/>
      <c r="K52" s="382"/>
      <c r="L52" s="382"/>
      <c r="M52" s="382"/>
      <c r="N52" s="382"/>
      <c r="O52" s="382"/>
      <c r="P52" s="382" t="s">
        <v>218</v>
      </c>
      <c r="Q52" s="383">
        <v>178.32355695308689</v>
      </c>
      <c r="R52" s="383">
        <v>78.651719834885625</v>
      </c>
      <c r="S52" s="383">
        <v>11.378658529398141</v>
      </c>
      <c r="T52" s="867"/>
      <c r="U52" s="383">
        <f t="shared" si="22"/>
        <v>72.516606531933689</v>
      </c>
      <c r="V52" s="383">
        <f t="shared" si="23"/>
        <v>31.984309408020437</v>
      </c>
      <c r="W52" s="383">
        <f t="shared" si="24"/>
        <v>4.6272164908345408</v>
      </c>
      <c r="X52" s="479">
        <f t="shared" si="17"/>
        <v>2.2672556598564331</v>
      </c>
      <c r="Y52" s="479">
        <f t="shared" si="18"/>
        <v>0.14467145223633349</v>
      </c>
    </row>
    <row r="53" spans="1:25" hidden="1" outlineLevel="1">
      <c r="A53" s="862" t="s">
        <v>212</v>
      </c>
      <c r="B53" s="868" t="s">
        <v>208</v>
      </c>
      <c r="C53" s="380"/>
      <c r="D53" s="380"/>
      <c r="E53" s="380"/>
      <c r="F53" s="380"/>
      <c r="G53" s="380"/>
      <c r="H53" s="380"/>
      <c r="I53" s="380"/>
      <c r="J53" s="380"/>
      <c r="K53" s="380"/>
      <c r="L53" s="380"/>
      <c r="M53" s="380"/>
      <c r="N53" s="380"/>
      <c r="O53" s="380"/>
      <c r="P53" s="380" t="s">
        <v>217</v>
      </c>
      <c r="Q53" s="381">
        <v>67.723931158060296</v>
      </c>
      <c r="R53" s="381">
        <v>26.816576771734269</v>
      </c>
      <c r="S53" s="381">
        <v>3.8639390180102624</v>
      </c>
      <c r="T53" s="865">
        <f>AVERAGE('Hałas-zagreg.śred.PL'!R30:R31)</f>
        <v>-0.42335022510131182</v>
      </c>
      <c r="U53" s="381">
        <f>IFERROR(Q53*(100%+$T$53),"brak")</f>
        <v>39.052989657549723</v>
      </c>
      <c r="V53" s="381">
        <f>IFERROR(R53*(100%+$T$53),"brak")</f>
        <v>15.463772958973957</v>
      </c>
      <c r="W53" s="381">
        <f>IFERROR(S53*(100%+$T$53),"brak")</f>
        <v>2.2281395649578761</v>
      </c>
      <c r="X53" s="476">
        <f t="shared" si="17"/>
        <v>2.5254502740798741</v>
      </c>
      <c r="Y53" s="476">
        <f t="shared" si="18"/>
        <v>0.14408770555990602</v>
      </c>
    </row>
    <row r="54" spans="1:25" hidden="1" outlineLevel="1">
      <c r="A54" s="863"/>
      <c r="B54" s="869"/>
      <c r="C54" s="386"/>
      <c r="D54" s="386"/>
      <c r="E54" s="386"/>
      <c r="F54" s="386"/>
      <c r="G54" s="386"/>
      <c r="H54" s="386"/>
      <c r="I54" s="386"/>
      <c r="J54" s="386"/>
      <c r="K54" s="386"/>
      <c r="L54" s="386"/>
      <c r="M54" s="386"/>
      <c r="N54" s="386"/>
      <c r="O54" s="386"/>
      <c r="P54" s="386" t="s">
        <v>218</v>
      </c>
      <c r="Q54" s="387">
        <v>89.206592111454313</v>
      </c>
      <c r="R54" s="387">
        <v>43.99430566701902</v>
      </c>
      <c r="S54" s="387">
        <v>6.3628995785712474</v>
      </c>
      <c r="T54" s="866"/>
      <c r="U54" s="387">
        <f t="shared" ref="U54:U56" si="25">IFERROR(Q54*(100%+$T$53),"brak")</f>
        <v>51.440961260549223</v>
      </c>
      <c r="V54" s="387">
        <f t="shared" ref="V54:V56" si="26">IFERROR(R54*(100%+$T$53),"brak")</f>
        <v>25.3693064597106</v>
      </c>
      <c r="W54" s="387">
        <f t="shared" ref="W54:W56" si="27">IFERROR(S54*(100%+$T$53),"brak")</f>
        <v>3.6691646096860677</v>
      </c>
      <c r="X54" s="477">
        <f t="shared" si="17"/>
        <v>2.0276849642004771</v>
      </c>
      <c r="Y54" s="477">
        <f t="shared" si="18"/>
        <v>0.14463007159904534</v>
      </c>
    </row>
    <row r="55" spans="1:25" hidden="1" outlineLevel="1">
      <c r="A55" s="863"/>
      <c r="B55" s="870" t="s">
        <v>209</v>
      </c>
      <c r="C55" s="384"/>
      <c r="D55" s="384"/>
      <c r="E55" s="384"/>
      <c r="F55" s="384"/>
      <c r="G55" s="384"/>
      <c r="H55" s="384"/>
      <c r="I55" s="384"/>
      <c r="J55" s="384"/>
      <c r="K55" s="384"/>
      <c r="L55" s="384"/>
      <c r="M55" s="384"/>
      <c r="N55" s="384"/>
      <c r="O55" s="384"/>
      <c r="P55" s="384" t="s">
        <v>217</v>
      </c>
      <c r="Q55" s="385">
        <v>123.35205321626239</v>
      </c>
      <c r="R55" s="385">
        <v>48.824229439531848</v>
      </c>
      <c r="S55" s="385">
        <v>7.0348889730078161</v>
      </c>
      <c r="T55" s="866"/>
      <c r="U55" s="385">
        <f t="shared" si="25"/>
        <v>71.130933720448709</v>
      </c>
      <c r="V55" s="385">
        <f t="shared" si="26"/>
        <v>28.154480915907946</v>
      </c>
      <c r="W55" s="385">
        <f t="shared" si="27"/>
        <v>4.0566671427222207</v>
      </c>
      <c r="X55" s="478">
        <f t="shared" si="17"/>
        <v>2.5264516129032253</v>
      </c>
      <c r="Y55" s="478">
        <f t="shared" si="18"/>
        <v>0.14408602150537636</v>
      </c>
    </row>
    <row r="56" spans="1:25" hidden="1" outlineLevel="1">
      <c r="A56" s="864"/>
      <c r="B56" s="861"/>
      <c r="C56" s="382"/>
      <c r="D56" s="382"/>
      <c r="E56" s="382"/>
      <c r="F56" s="382"/>
      <c r="G56" s="382"/>
      <c r="H56" s="382"/>
      <c r="I56" s="382"/>
      <c r="J56" s="382"/>
      <c r="K56" s="382"/>
      <c r="L56" s="382"/>
      <c r="M56" s="382"/>
      <c r="N56" s="382"/>
      <c r="O56" s="382"/>
      <c r="P56" s="382" t="s">
        <v>218</v>
      </c>
      <c r="Q56" s="383">
        <v>202.39480573686365</v>
      </c>
      <c r="R56" s="383">
        <v>80.113735617984531</v>
      </c>
      <c r="S56" s="383">
        <v>11.591817054030788</v>
      </c>
      <c r="T56" s="867"/>
      <c r="U56" s="383">
        <f t="shared" si="25"/>
        <v>116.71091916882615</v>
      </c>
      <c r="V56" s="383">
        <f t="shared" si="26"/>
        <v>46.197567610403794</v>
      </c>
      <c r="W56" s="383">
        <f t="shared" si="27"/>
        <v>6.6844186948736288</v>
      </c>
      <c r="X56" s="479">
        <f t="shared" si="17"/>
        <v>2.5263433813892529</v>
      </c>
      <c r="Y56" s="479">
        <f t="shared" si="18"/>
        <v>0.14469200524246395</v>
      </c>
    </row>
    <row r="57" spans="1:25" hidden="1" outlineLevel="1">
      <c r="A57" s="380"/>
      <c r="B57" s="380"/>
      <c r="C57" s="380"/>
      <c r="D57" s="380"/>
      <c r="E57" s="380"/>
      <c r="F57" s="380"/>
      <c r="G57" s="380"/>
      <c r="H57" s="380"/>
      <c r="I57" s="380"/>
      <c r="J57" s="380"/>
      <c r="K57" s="380"/>
      <c r="L57" s="380"/>
      <c r="M57" s="380"/>
      <c r="N57" s="380"/>
      <c r="O57" s="380"/>
      <c r="P57" s="396"/>
      <c r="Q57" s="396"/>
      <c r="R57" s="396"/>
      <c r="S57" s="396"/>
      <c r="T57" s="397"/>
      <c r="U57" s="398"/>
      <c r="V57" s="396"/>
      <c r="W57" s="396"/>
      <c r="X57" s="474"/>
      <c r="Y57" s="474"/>
    </row>
    <row r="58" spans="1:25" hidden="1" outlineLevel="1">
      <c r="A58" s="388" t="s">
        <v>221</v>
      </c>
      <c r="B58" s="388"/>
      <c r="C58" s="388"/>
      <c r="D58" s="388"/>
      <c r="E58" s="388"/>
      <c r="F58" s="388"/>
      <c r="G58" s="388"/>
      <c r="H58" s="388"/>
      <c r="I58" s="388"/>
      <c r="J58" s="388"/>
      <c r="K58" s="388"/>
      <c r="L58" s="388"/>
      <c r="M58" s="388"/>
      <c r="N58" s="388"/>
      <c r="O58" s="388"/>
      <c r="P58" s="399"/>
      <c r="Q58" s="399"/>
      <c r="R58" s="399"/>
      <c r="S58" s="399"/>
      <c r="T58" s="400"/>
      <c r="U58" s="401"/>
      <c r="V58" s="399"/>
      <c r="W58" s="399"/>
      <c r="X58" s="475"/>
      <c r="Y58" s="475"/>
    </row>
    <row r="59" spans="1:25" hidden="1" outlineLevel="1">
      <c r="A59" s="858" t="s">
        <v>760</v>
      </c>
      <c r="B59" s="859" t="s">
        <v>208</v>
      </c>
      <c r="C59" s="380"/>
      <c r="D59" s="380"/>
      <c r="E59" s="380"/>
      <c r="F59" s="380"/>
      <c r="G59" s="380"/>
      <c r="H59" s="380"/>
      <c r="I59" s="380"/>
      <c r="J59" s="380"/>
      <c r="K59" s="380"/>
      <c r="L59" s="380"/>
      <c r="M59" s="380"/>
      <c r="N59" s="380"/>
      <c r="O59" s="380"/>
      <c r="P59" s="380" t="s">
        <v>217</v>
      </c>
      <c r="Q59" s="381">
        <v>5.4816033540446876</v>
      </c>
      <c r="R59" s="381">
        <v>0.30783234342839327</v>
      </c>
      <c r="S59" s="381">
        <v>4.5315421113824368E-2</v>
      </c>
      <c r="T59" s="855">
        <f>'Hałas-zagreg.śred.PL'!R17</f>
        <v>0.28526802676521906</v>
      </c>
      <c r="U59" s="381">
        <f>IFERROR(Q59*(100%+$T$59),"brak")</f>
        <v>7.0453295263626217</v>
      </c>
      <c r="V59" s="381">
        <f>IFERROR(R59*(100%+$T$59),"brak")</f>
        <v>0.39564706861272425</v>
      </c>
      <c r="W59" s="381">
        <f>IFERROR(S59*(100%+$T$59),"brak")</f>
        <v>5.8242461876999989E-2</v>
      </c>
      <c r="X59" s="476">
        <f t="shared" ref="X59:X74" si="28">IFERROR(U59/V59,"brak")</f>
        <v>17.80710659898477</v>
      </c>
      <c r="Y59" s="476">
        <f t="shared" ref="Y59:Y74" si="29">IFERROR(W59/V59,"brak")</f>
        <v>0.14720812182741111</v>
      </c>
    </row>
    <row r="60" spans="1:25" hidden="1" outlineLevel="1">
      <c r="A60" s="858"/>
      <c r="B60" s="860"/>
      <c r="C60" s="386"/>
      <c r="D60" s="386"/>
      <c r="E60" s="386"/>
      <c r="F60" s="386"/>
      <c r="G60" s="386"/>
      <c r="H60" s="386"/>
      <c r="I60" s="386"/>
      <c r="J60" s="386"/>
      <c r="K60" s="386"/>
      <c r="L60" s="386"/>
      <c r="M60" s="386"/>
      <c r="N60" s="386"/>
      <c r="O60" s="386"/>
      <c r="P60" s="386" t="s">
        <v>218</v>
      </c>
      <c r="Q60" s="387">
        <v>13.290700492539079</v>
      </c>
      <c r="R60" s="387">
        <v>0.85864910007056894</v>
      </c>
      <c r="S60" s="387">
        <v>9.9225146231994771E-2</v>
      </c>
      <c r="T60" s="856"/>
      <c r="U60" s="387">
        <f t="shared" ref="U60:U62" si="30">IFERROR(Q60*(100%+$T$59),"brak")</f>
        <v>17.082112396373226</v>
      </c>
      <c r="V60" s="387">
        <f t="shared" ref="V60:V62" si="31">IFERROR(R60*(100%+$T$59),"brak")</f>
        <v>1.1035942345314311</v>
      </c>
      <c r="W60" s="387">
        <f t="shared" ref="W60:W62" si="32">IFERROR(S60*(100%+$T$59),"brak")</f>
        <v>0.12753090790308622</v>
      </c>
      <c r="X60" s="477">
        <f t="shared" si="28"/>
        <v>15.478616924476798</v>
      </c>
      <c r="Y60" s="477">
        <f t="shared" si="29"/>
        <v>0.11555959963603275</v>
      </c>
    </row>
    <row r="61" spans="1:25" hidden="1" outlineLevel="1">
      <c r="A61" s="858"/>
      <c r="B61" s="861" t="s">
        <v>209</v>
      </c>
      <c r="C61" s="384"/>
      <c r="D61" s="384"/>
      <c r="E61" s="384"/>
      <c r="F61" s="384"/>
      <c r="G61" s="384"/>
      <c r="H61" s="384"/>
      <c r="I61" s="384"/>
      <c r="J61" s="384"/>
      <c r="K61" s="384"/>
      <c r="L61" s="384"/>
      <c r="M61" s="384"/>
      <c r="N61" s="384"/>
      <c r="O61" s="384"/>
      <c r="P61" s="384" t="s">
        <v>217</v>
      </c>
      <c r="Q61" s="385">
        <v>9.9842373519579635</v>
      </c>
      <c r="R61" s="385">
        <v>0.5609736613745846</v>
      </c>
      <c r="S61" s="385">
        <v>8.2817838587334228E-2</v>
      </c>
      <c r="T61" s="856"/>
      <c r="U61" s="385">
        <f t="shared" si="30"/>
        <v>12.832421040106608</v>
      </c>
      <c r="V61" s="385">
        <f t="shared" si="31"/>
        <v>0.72100151082217245</v>
      </c>
      <c r="W61" s="385">
        <f t="shared" si="32"/>
        <v>0.10644311998210347</v>
      </c>
      <c r="X61" s="478">
        <f t="shared" si="28"/>
        <v>17.79805013927577</v>
      </c>
      <c r="Y61" s="478">
        <f t="shared" si="29"/>
        <v>0.1476323119777159</v>
      </c>
    </row>
    <row r="62" spans="1:25" hidden="1" outlineLevel="1">
      <c r="A62" s="858"/>
      <c r="B62" s="859"/>
      <c r="C62" s="382"/>
      <c r="D62" s="382"/>
      <c r="E62" s="382"/>
      <c r="F62" s="382"/>
      <c r="G62" s="382"/>
      <c r="H62" s="382"/>
      <c r="I62" s="382"/>
      <c r="J62" s="382"/>
      <c r="K62" s="382"/>
      <c r="L62" s="382"/>
      <c r="M62" s="382"/>
      <c r="N62" s="382"/>
      <c r="O62" s="382"/>
      <c r="P62" s="382" t="s">
        <v>218</v>
      </c>
      <c r="Q62" s="383">
        <v>24.206247878422534</v>
      </c>
      <c r="R62" s="383">
        <v>1.5633820284269413</v>
      </c>
      <c r="S62" s="383">
        <v>0.18048038409126607</v>
      </c>
      <c r="T62" s="857"/>
      <c r="U62" s="383">
        <f t="shared" si="30"/>
        <v>31.111516446089901</v>
      </c>
      <c r="V62" s="383">
        <f t="shared" si="31"/>
        <v>2.0093649347565004</v>
      </c>
      <c r="W62" s="383">
        <f t="shared" si="32"/>
        <v>0.23196566713081038</v>
      </c>
      <c r="X62" s="479">
        <f t="shared" si="28"/>
        <v>15.483258370814593</v>
      </c>
      <c r="Y62" s="479">
        <f t="shared" si="29"/>
        <v>0.11544227886056971</v>
      </c>
    </row>
    <row r="63" spans="1:25" hidden="1" outlineLevel="1">
      <c r="A63" s="858" t="s">
        <v>761</v>
      </c>
      <c r="B63" s="859" t="s">
        <v>208</v>
      </c>
      <c r="C63" s="380"/>
      <c r="D63" s="380"/>
      <c r="E63" s="380"/>
      <c r="F63" s="380"/>
      <c r="G63" s="380"/>
      <c r="H63" s="380"/>
      <c r="I63" s="380"/>
      <c r="J63" s="380"/>
      <c r="K63" s="380"/>
      <c r="L63" s="380"/>
      <c r="M63" s="380"/>
      <c r="N63" s="380"/>
      <c r="O63" s="380"/>
      <c r="P63" s="380" t="s">
        <v>217</v>
      </c>
      <c r="Q63" s="381">
        <v>7.8373462890593393</v>
      </c>
      <c r="R63" s="381">
        <v>0.44012463481889685</v>
      </c>
      <c r="S63" s="381">
        <v>6.478992086166499E-2</v>
      </c>
      <c r="T63" s="855">
        <f>'Hałas-zagreg.śred.PL'!R18</f>
        <v>0.22860089951685258</v>
      </c>
      <c r="U63" s="381">
        <f>IFERROR(Q63*(100%+$T$63),"brak")</f>
        <v>9.6289707005633716</v>
      </c>
      <c r="V63" s="381">
        <f>IFERROR(R63*(100%+$T$63),"brak")</f>
        <v>0.54073752223802296</v>
      </c>
      <c r="W63" s="381">
        <f>IFERROR(S63*(100%+$T$63),"brak")</f>
        <v>7.9600955050267305E-2</v>
      </c>
      <c r="X63" s="476">
        <f t="shared" si="28"/>
        <v>17.807106598984767</v>
      </c>
      <c r="Y63" s="476">
        <f t="shared" si="29"/>
        <v>0.14720812182741111</v>
      </c>
    </row>
    <row r="64" spans="1:25" hidden="1" outlineLevel="1">
      <c r="A64" s="858"/>
      <c r="B64" s="860"/>
      <c r="C64" s="386"/>
      <c r="D64" s="386"/>
      <c r="E64" s="386"/>
      <c r="F64" s="386"/>
      <c r="G64" s="386"/>
      <c r="H64" s="386"/>
      <c r="I64" s="386"/>
      <c r="J64" s="386"/>
      <c r="K64" s="386"/>
      <c r="L64" s="386"/>
      <c r="M64" s="386"/>
      <c r="N64" s="386"/>
      <c r="O64" s="386"/>
      <c r="P64" s="386" t="s">
        <v>218</v>
      </c>
      <c r="Q64" s="387">
        <v>19.002436961685927</v>
      </c>
      <c r="R64" s="387">
        <v>1.2276572935684456</v>
      </c>
      <c r="S64" s="387">
        <v>0.14186758533502511</v>
      </c>
      <c r="T64" s="856"/>
      <c r="U64" s="387">
        <f t="shared" ref="U64:U66" si="33">IFERROR(Q64*(100%+$T$63),"brak")</f>
        <v>23.346411144139619</v>
      </c>
      <c r="V64" s="387">
        <f t="shared" ref="V64:V66" si="34">IFERROR(R64*(100%+$T$63),"brak")</f>
        <v>1.5083008551766171</v>
      </c>
      <c r="W64" s="387">
        <f t="shared" ref="W64:W66" si="35">IFERROR(S64*(100%+$T$63),"brak")</f>
        <v>0.17429864295489572</v>
      </c>
      <c r="X64" s="477">
        <f t="shared" si="28"/>
        <v>15.478616924476803</v>
      </c>
      <c r="Y64" s="477">
        <f t="shared" si="29"/>
        <v>0.11555959963603278</v>
      </c>
    </row>
    <row r="65" spans="1:25" hidden="1" outlineLevel="1">
      <c r="A65" s="858"/>
      <c r="B65" s="861" t="s">
        <v>209</v>
      </c>
      <c r="C65" s="384"/>
      <c r="D65" s="384"/>
      <c r="E65" s="384"/>
      <c r="F65" s="384"/>
      <c r="G65" s="384"/>
      <c r="H65" s="384"/>
      <c r="I65" s="384"/>
      <c r="J65" s="384"/>
      <c r="K65" s="384"/>
      <c r="L65" s="384"/>
      <c r="M65" s="384"/>
      <c r="N65" s="384"/>
      <c r="O65" s="384"/>
      <c r="P65" s="384" t="s">
        <v>217</v>
      </c>
      <c r="Q65" s="385">
        <v>14.2750068739865</v>
      </c>
      <c r="R65" s="385">
        <v>0.8020545375633702</v>
      </c>
      <c r="S65" s="385">
        <v>0.11840916571269813</v>
      </c>
      <c r="T65" s="856"/>
      <c r="U65" s="385">
        <f t="shared" si="33"/>
        <v>17.53828628598907</v>
      </c>
      <c r="V65" s="385">
        <f t="shared" si="34"/>
        <v>0.98540492631193</v>
      </c>
      <c r="W65" s="385">
        <f t="shared" si="35"/>
        <v>0.14547760750566099</v>
      </c>
      <c r="X65" s="478">
        <f t="shared" si="28"/>
        <v>17.798050139275766</v>
      </c>
      <c r="Y65" s="478">
        <f t="shared" si="29"/>
        <v>0.1476323119777159</v>
      </c>
    </row>
    <row r="66" spans="1:25" hidden="1" outlineLevel="1">
      <c r="A66" s="858"/>
      <c r="B66" s="859"/>
      <c r="C66" s="382"/>
      <c r="D66" s="382"/>
      <c r="E66" s="382"/>
      <c r="F66" s="382"/>
      <c r="G66" s="382"/>
      <c r="H66" s="382"/>
      <c r="I66" s="382"/>
      <c r="J66" s="382"/>
      <c r="K66" s="382"/>
      <c r="L66" s="382"/>
      <c r="M66" s="382"/>
      <c r="N66" s="382"/>
      <c r="O66" s="382"/>
      <c r="P66" s="382" t="s">
        <v>218</v>
      </c>
      <c r="Q66" s="383">
        <v>34.608988416139745</v>
      </c>
      <c r="R66" s="383">
        <v>2.2352522697274431</v>
      </c>
      <c r="S66" s="383">
        <v>0.25804261584559685</v>
      </c>
      <c r="T66" s="857"/>
      <c r="U66" s="383">
        <f t="shared" si="33"/>
        <v>42.520634299437624</v>
      </c>
      <c r="V66" s="383">
        <f t="shared" si="34"/>
        <v>2.7462329492342232</v>
      </c>
      <c r="W66" s="383">
        <f t="shared" si="35"/>
        <v>0.31703138994158198</v>
      </c>
      <c r="X66" s="479">
        <f t="shared" si="28"/>
        <v>15.483258370814589</v>
      </c>
      <c r="Y66" s="479">
        <f t="shared" si="29"/>
        <v>0.11544227886056971</v>
      </c>
    </row>
    <row r="67" spans="1:25" hidden="1" outlineLevel="1">
      <c r="A67" s="858" t="s">
        <v>762</v>
      </c>
      <c r="B67" s="859" t="s">
        <v>208</v>
      </c>
      <c r="C67" s="380"/>
      <c r="D67" s="380"/>
      <c r="E67" s="380"/>
      <c r="F67" s="380"/>
      <c r="G67" s="380"/>
      <c r="H67" s="380"/>
      <c r="I67" s="380"/>
      <c r="J67" s="380"/>
      <c r="K67" s="380"/>
      <c r="L67" s="380"/>
      <c r="M67" s="380"/>
      <c r="N67" s="380"/>
      <c r="O67" s="380"/>
      <c r="P67" s="380" t="s">
        <v>217</v>
      </c>
      <c r="Q67" s="381">
        <v>8.7975406248866772</v>
      </c>
      <c r="R67" s="381">
        <v>0.49404660863816297</v>
      </c>
      <c r="S67" s="381">
        <v>7.2727673352826011E-2</v>
      </c>
      <c r="T67" s="855">
        <f>'Hałas-zagreg.śred.PL'!R19</f>
        <v>0.24134593442748983</v>
      </c>
      <c r="U67" s="381">
        <f>IFERROR(Q67*(100%+$T$67),"brak")</f>
        <v>10.920791287663754</v>
      </c>
      <c r="V67" s="381">
        <f>IFERROR(R67*(100%+$T$67),"brak")</f>
        <v>0.6132827490506727</v>
      </c>
      <c r="W67" s="381">
        <f>IFERROR(S67*(100%+$T$67),"brak")</f>
        <v>9.028020163690105E-2</v>
      </c>
      <c r="X67" s="476">
        <f t="shared" si="28"/>
        <v>17.807106598984767</v>
      </c>
      <c r="Y67" s="476">
        <f t="shared" si="29"/>
        <v>0.14720812182741116</v>
      </c>
    </row>
    <row r="68" spans="1:25" hidden="1" outlineLevel="1">
      <c r="A68" s="858"/>
      <c r="B68" s="860"/>
      <c r="C68" s="386"/>
      <c r="D68" s="386"/>
      <c r="E68" s="386"/>
      <c r="F68" s="386"/>
      <c r="G68" s="386"/>
      <c r="H68" s="386"/>
      <c r="I68" s="386"/>
      <c r="J68" s="386"/>
      <c r="K68" s="386"/>
      <c r="L68" s="386"/>
      <c r="M68" s="386"/>
      <c r="N68" s="386"/>
      <c r="O68" s="386"/>
      <c r="P68" s="386" t="s">
        <v>218</v>
      </c>
      <c r="Q68" s="387">
        <v>21.330525024222819</v>
      </c>
      <c r="R68" s="387">
        <v>1.3780640174957897</v>
      </c>
      <c r="S68" s="387">
        <v>0.1592485261346363</v>
      </c>
      <c r="T68" s="856"/>
      <c r="U68" s="387">
        <f t="shared" ref="U68:U70" si="36">IFERROR(Q68*(100%+$T$67),"brak")</f>
        <v>26.478560518022828</v>
      </c>
      <c r="V68" s="387">
        <f t="shared" ref="V68:V70" si="37">IFERROR(R68*(100%+$T$67),"brak")</f>
        <v>1.7106541654992116</v>
      </c>
      <c r="W68" s="387">
        <f t="shared" ref="W68:W70" si="38">IFERROR(S68*(100%+$T$67),"brak")</f>
        <v>0.19768251048080063</v>
      </c>
      <c r="X68" s="477">
        <f t="shared" si="28"/>
        <v>15.478616924476798</v>
      </c>
      <c r="Y68" s="477">
        <f t="shared" si="29"/>
        <v>0.11555959963603277</v>
      </c>
    </row>
    <row r="69" spans="1:25" hidden="1" outlineLevel="1">
      <c r="A69" s="858"/>
      <c r="B69" s="861" t="s">
        <v>209</v>
      </c>
      <c r="C69" s="384"/>
      <c r="D69" s="384"/>
      <c r="E69" s="384"/>
      <c r="F69" s="384"/>
      <c r="G69" s="384"/>
      <c r="H69" s="384"/>
      <c r="I69" s="384"/>
      <c r="J69" s="384"/>
      <c r="K69" s="384"/>
      <c r="L69" s="384"/>
      <c r="M69" s="384"/>
      <c r="N69" s="384"/>
      <c r="O69" s="384"/>
      <c r="P69" s="384" t="s">
        <v>217</v>
      </c>
      <c r="Q69" s="385">
        <v>16.023912720271788</v>
      </c>
      <c r="R69" s="385">
        <v>0.9003184390918807</v>
      </c>
      <c r="S69" s="385">
        <v>0.13291609267930274</v>
      </c>
      <c r="T69" s="856"/>
      <c r="U69" s="385">
        <f t="shared" si="36"/>
        <v>19.891218908930323</v>
      </c>
      <c r="V69" s="385">
        <f t="shared" si="37"/>
        <v>1.1176066340568096</v>
      </c>
      <c r="W69" s="385">
        <f t="shared" si="38"/>
        <v>0.1649948512674399</v>
      </c>
      <c r="X69" s="478">
        <f t="shared" si="28"/>
        <v>17.79805013927577</v>
      </c>
      <c r="Y69" s="478">
        <f t="shared" si="29"/>
        <v>0.14763231197771592</v>
      </c>
    </row>
    <row r="70" spans="1:25" hidden="1" outlineLevel="1">
      <c r="A70" s="858"/>
      <c r="B70" s="859"/>
      <c r="C70" s="382"/>
      <c r="D70" s="382"/>
      <c r="E70" s="382"/>
      <c r="F70" s="382"/>
      <c r="G70" s="382"/>
      <c r="H70" s="382"/>
      <c r="I70" s="382"/>
      <c r="J70" s="382"/>
      <c r="K70" s="382"/>
      <c r="L70" s="382"/>
      <c r="M70" s="382"/>
      <c r="N70" s="382"/>
      <c r="O70" s="382"/>
      <c r="P70" s="382" t="s">
        <v>218</v>
      </c>
      <c r="Q70" s="383">
        <v>38.849116824435441</v>
      </c>
      <c r="R70" s="383">
        <v>2.5091047306724974</v>
      </c>
      <c r="S70" s="383">
        <v>0.28965676800866913</v>
      </c>
      <c r="T70" s="857"/>
      <c r="U70" s="383">
        <f t="shared" si="36"/>
        <v>48.225193226111529</v>
      </c>
      <c r="V70" s="383">
        <f t="shared" si="37"/>
        <v>3.1146669564730862</v>
      </c>
      <c r="W70" s="383">
        <f t="shared" si="38"/>
        <v>0.35956425134696801</v>
      </c>
      <c r="X70" s="479">
        <f t="shared" si="28"/>
        <v>15.483258370814594</v>
      </c>
      <c r="Y70" s="479">
        <f t="shared" si="29"/>
        <v>0.11544227886056972</v>
      </c>
    </row>
    <row r="71" spans="1:25" hidden="1" outlineLevel="1">
      <c r="A71" s="858" t="s">
        <v>763</v>
      </c>
      <c r="B71" s="859" t="s">
        <v>208</v>
      </c>
      <c r="C71" s="380"/>
      <c r="D71" s="380"/>
      <c r="E71" s="380"/>
      <c r="F71" s="380"/>
      <c r="G71" s="380"/>
      <c r="H71" s="380"/>
      <c r="I71" s="380"/>
      <c r="J71" s="380"/>
      <c r="K71" s="380"/>
      <c r="L71" s="380"/>
      <c r="M71" s="380"/>
      <c r="N71" s="380"/>
      <c r="O71" s="380"/>
      <c r="P71" s="380" t="s">
        <v>217</v>
      </c>
      <c r="Q71" s="381">
        <v>9.8608127415919764</v>
      </c>
      <c r="R71" s="381">
        <v>0.55375715795143099</v>
      </c>
      <c r="S71" s="381">
        <v>8.1517551170515193E-2</v>
      </c>
      <c r="T71" s="855">
        <f>'Hałas-zagreg.śred.PL'!R20</f>
        <v>0.2473766913918897</v>
      </c>
      <c r="U71" s="381">
        <f>IFERROR(Q71*(100%+$T$71),"brak")</f>
        <v>12.300147972041989</v>
      </c>
      <c r="V71" s="381">
        <f>IFERROR(R71*(100%+$T$71),"brak")</f>
        <v>0.69074377152003208</v>
      </c>
      <c r="W71" s="381">
        <f>IFERROR(S71*(100%+$T$71),"brak")</f>
        <v>0.10168309326944631</v>
      </c>
      <c r="X71" s="476">
        <f t="shared" si="28"/>
        <v>17.807106598984767</v>
      </c>
      <c r="Y71" s="476">
        <f t="shared" si="29"/>
        <v>0.14720812182741111</v>
      </c>
    </row>
    <row r="72" spans="1:25" hidden="1" outlineLevel="1">
      <c r="A72" s="858"/>
      <c r="B72" s="860"/>
      <c r="C72" s="386"/>
      <c r="D72" s="386"/>
      <c r="E72" s="386"/>
      <c r="F72" s="386"/>
      <c r="G72" s="386"/>
      <c r="H72" s="386"/>
      <c r="I72" s="386"/>
      <c r="J72" s="386"/>
      <c r="K72" s="386"/>
      <c r="L72" s="386"/>
      <c r="M72" s="386"/>
      <c r="N72" s="386"/>
      <c r="O72" s="386"/>
      <c r="P72" s="386" t="s">
        <v>218</v>
      </c>
      <c r="Q72" s="387">
        <v>23.908535568304039</v>
      </c>
      <c r="R72" s="387">
        <v>1.5446170471792449</v>
      </c>
      <c r="S72" s="387">
        <v>0.17849532756302466</v>
      </c>
      <c r="T72" s="856"/>
      <c r="U72" s="387">
        <f t="shared" ref="U72:U74" si="39">IFERROR(Q72*(100%+$T$71),"brak")</f>
        <v>29.822949993216408</v>
      </c>
      <c r="V72" s="387">
        <f t="shared" ref="V72:V74" si="40">IFERROR(R72*(100%+$T$71),"brak")</f>
        <v>1.9267193017779569</v>
      </c>
      <c r="W72" s="387">
        <f t="shared" ref="W72:W74" si="41">IFERROR(S72*(100%+$T$71),"brak")</f>
        <v>0.2226509111244773</v>
      </c>
      <c r="X72" s="477">
        <f t="shared" si="28"/>
        <v>15.478616924476801</v>
      </c>
      <c r="Y72" s="477">
        <f t="shared" si="29"/>
        <v>0.11555959963603277</v>
      </c>
    </row>
    <row r="73" spans="1:25" hidden="1" outlineLevel="1">
      <c r="A73" s="858"/>
      <c r="B73" s="861" t="s">
        <v>209</v>
      </c>
      <c r="C73" s="384"/>
      <c r="D73" s="384"/>
      <c r="E73" s="384"/>
      <c r="F73" s="384"/>
      <c r="G73" s="384"/>
      <c r="H73" s="384"/>
      <c r="I73" s="384"/>
      <c r="J73" s="384"/>
      <c r="K73" s="384"/>
      <c r="L73" s="384"/>
      <c r="M73" s="384"/>
      <c r="N73" s="384"/>
      <c r="O73" s="384"/>
      <c r="P73" s="384" t="s">
        <v>217</v>
      </c>
      <c r="Q73" s="385">
        <v>17.960565282896791</v>
      </c>
      <c r="R73" s="385">
        <v>1.009131064490171</v>
      </c>
      <c r="S73" s="385">
        <v>0.14898035213921745</v>
      </c>
      <c r="T73" s="856"/>
      <c r="U73" s="385">
        <f t="shared" si="39"/>
        <v>22.403590498107839</v>
      </c>
      <c r="V73" s="385">
        <f t="shared" si="40"/>
        <v>1.2587665684045253</v>
      </c>
      <c r="W73" s="385">
        <f t="shared" si="41"/>
        <v>0.18583461873381571</v>
      </c>
      <c r="X73" s="478">
        <f t="shared" si="28"/>
        <v>17.798050139275766</v>
      </c>
      <c r="Y73" s="478">
        <f t="shared" si="29"/>
        <v>0.14763231197771587</v>
      </c>
    </row>
    <row r="74" spans="1:25" hidden="1" outlineLevel="1">
      <c r="A74" s="858"/>
      <c r="B74" s="859"/>
      <c r="C74" s="382"/>
      <c r="D74" s="382"/>
      <c r="E74" s="382"/>
      <c r="F74" s="382"/>
      <c r="G74" s="382"/>
      <c r="H74" s="382"/>
      <c r="I74" s="382"/>
      <c r="J74" s="382"/>
      <c r="K74" s="382"/>
      <c r="L74" s="382"/>
      <c r="M74" s="382"/>
      <c r="N74" s="382"/>
      <c r="O74" s="382"/>
      <c r="P74" s="382" t="s">
        <v>218</v>
      </c>
      <c r="Q74" s="383">
        <v>43.544427075256934</v>
      </c>
      <c r="R74" s="383">
        <v>2.8123555153827744</v>
      </c>
      <c r="S74" s="383">
        <v>0.32466472966187954</v>
      </c>
      <c r="T74" s="857"/>
      <c r="U74" s="383">
        <f t="shared" si="39"/>
        <v>54.316303373689415</v>
      </c>
      <c r="V74" s="383">
        <f t="shared" si="40"/>
        <v>3.5080667177958982</v>
      </c>
      <c r="W74" s="383">
        <f t="shared" si="41"/>
        <v>0.40497921629727762</v>
      </c>
      <c r="X74" s="479">
        <f t="shared" si="28"/>
        <v>15.483258370814593</v>
      </c>
      <c r="Y74" s="479">
        <f t="shared" si="29"/>
        <v>0.11544227886056972</v>
      </c>
    </row>
    <row r="75" spans="1:25" hidden="1" outlineLevel="1">
      <c r="A75" s="380"/>
      <c r="B75" s="380"/>
      <c r="C75" s="380"/>
      <c r="D75" s="380"/>
      <c r="E75" s="380"/>
      <c r="F75" s="380"/>
      <c r="G75" s="380"/>
      <c r="H75" s="380"/>
      <c r="I75" s="380"/>
      <c r="J75" s="380"/>
      <c r="K75" s="380"/>
      <c r="L75" s="380"/>
      <c r="M75" s="380"/>
      <c r="N75" s="380"/>
      <c r="O75" s="380"/>
      <c r="P75" s="396"/>
      <c r="Q75" s="396"/>
      <c r="R75" s="396"/>
      <c r="S75" s="396"/>
      <c r="T75" s="397"/>
      <c r="U75" s="398"/>
      <c r="V75" s="396"/>
      <c r="W75" s="396"/>
      <c r="X75" s="474"/>
      <c r="Y75" s="474"/>
    </row>
    <row r="76" spans="1:25" hidden="1" outlineLevel="1">
      <c r="A76" s="388" t="s">
        <v>764</v>
      </c>
      <c r="B76" s="388"/>
      <c r="C76" s="388"/>
      <c r="D76" s="388"/>
      <c r="E76" s="388"/>
      <c r="F76" s="388"/>
      <c r="G76" s="388"/>
      <c r="H76" s="388"/>
      <c r="I76" s="388"/>
      <c r="J76" s="388"/>
      <c r="K76" s="388"/>
      <c r="L76" s="388"/>
      <c r="M76" s="388"/>
      <c r="N76" s="388"/>
      <c r="O76" s="388"/>
      <c r="P76" s="399"/>
      <c r="Q76" s="399"/>
      <c r="R76" s="399"/>
      <c r="S76" s="399"/>
      <c r="T76" s="400"/>
      <c r="U76" s="401"/>
      <c r="V76" s="399"/>
      <c r="W76" s="399"/>
      <c r="X76" s="475"/>
      <c r="Y76" s="475"/>
    </row>
    <row r="77" spans="1:25" hidden="1" outlineLevel="1">
      <c r="A77" s="858" t="s">
        <v>175</v>
      </c>
      <c r="B77" s="859" t="s">
        <v>208</v>
      </c>
      <c r="C77" s="380"/>
      <c r="D77" s="380"/>
      <c r="E77" s="380"/>
      <c r="F77" s="380"/>
      <c r="G77" s="380"/>
      <c r="H77" s="380"/>
      <c r="I77" s="380"/>
      <c r="J77" s="380"/>
      <c r="K77" s="380"/>
      <c r="L77" s="380"/>
      <c r="M77" s="380"/>
      <c r="N77" s="380"/>
      <c r="O77" s="380"/>
      <c r="P77" s="380" t="s">
        <v>217</v>
      </c>
      <c r="Q77" s="381">
        <v>9.0224476047098747</v>
      </c>
      <c r="R77" s="381">
        <v>0.50637392798529057</v>
      </c>
      <c r="S77" s="381">
        <v>7.5719465866959351E-2</v>
      </c>
      <c r="T77" s="855">
        <f>'Hałas-zagreg.śred.PL'!R22</f>
        <v>-0.11396452602320215</v>
      </c>
      <c r="U77" s="381">
        <f>IFERROR(Q77*(100%+$T$77),"brak")</f>
        <v>7.9942086398699379</v>
      </c>
      <c r="V77" s="381">
        <f>IFERROR(R77*(100%+$T$77),"brak")</f>
        <v>0.44866526329193984</v>
      </c>
      <c r="W77" s="381">
        <f>IFERROR(S77*(100%+$T$77),"brak")</f>
        <v>6.7090132828701299E-2</v>
      </c>
      <c r="X77" s="476">
        <f t="shared" ref="X77:X84" si="42">IFERROR(U77/V77,"brak")</f>
        <v>17.817757009345794</v>
      </c>
      <c r="Y77" s="476">
        <f t="shared" ref="Y77:Y84" si="43">IFERROR(W77/V77,"brak")</f>
        <v>0.14953271028037388</v>
      </c>
    </row>
    <row r="78" spans="1:25" hidden="1" outlineLevel="1">
      <c r="A78" s="858"/>
      <c r="B78" s="860"/>
      <c r="C78" s="386"/>
      <c r="D78" s="386"/>
      <c r="E78" s="386"/>
      <c r="F78" s="386"/>
      <c r="G78" s="386"/>
      <c r="H78" s="386"/>
      <c r="I78" s="386"/>
      <c r="J78" s="386"/>
      <c r="K78" s="386"/>
      <c r="L78" s="386"/>
      <c r="M78" s="386"/>
      <c r="N78" s="386"/>
      <c r="O78" s="386"/>
      <c r="P78" s="386" t="s">
        <v>218</v>
      </c>
      <c r="Q78" s="387">
        <v>21.875826935626225</v>
      </c>
      <c r="R78" s="387">
        <v>1.4126412850804606</v>
      </c>
      <c r="S78" s="387">
        <v>0.16327009827563108</v>
      </c>
      <c r="T78" s="856"/>
      <c r="U78" s="387">
        <f t="shared" ref="U78:U80" si="44">IFERROR(Q78*(100%+$T$77),"brak")</f>
        <v>19.382758687541983</v>
      </c>
      <c r="V78" s="387">
        <f t="shared" ref="V78:V80" si="45">IFERROR(R78*(100%+$T$77),"brak")</f>
        <v>1.2516502905854587</v>
      </c>
      <c r="W78" s="387">
        <f t="shared" ref="W78:W80" si="46">IFERROR(S78*(100%+$T$77),"brak")</f>
        <v>0.14466309891188714</v>
      </c>
      <c r="X78" s="477">
        <f t="shared" si="42"/>
        <v>15.485762144053599</v>
      </c>
      <c r="Y78" s="477">
        <f t="shared" si="43"/>
        <v>0.11557788944723614</v>
      </c>
    </row>
    <row r="79" spans="1:25" hidden="1" outlineLevel="1">
      <c r="A79" s="858"/>
      <c r="B79" s="861" t="s">
        <v>209</v>
      </c>
      <c r="C79" s="384"/>
      <c r="D79" s="384"/>
      <c r="E79" s="384"/>
      <c r="F79" s="384"/>
      <c r="G79" s="384"/>
      <c r="H79" s="384"/>
      <c r="I79" s="384"/>
      <c r="J79" s="384"/>
      <c r="K79" s="384"/>
      <c r="L79" s="384"/>
      <c r="M79" s="384"/>
      <c r="N79" s="384"/>
      <c r="O79" s="384"/>
      <c r="P79" s="384" t="s">
        <v>217</v>
      </c>
      <c r="Q79" s="385">
        <v>16.43349032643852</v>
      </c>
      <c r="R79" s="385">
        <v>0.92283099025356707</v>
      </c>
      <c r="S79" s="385">
        <v>0.13724153188386379</v>
      </c>
      <c r="T79" s="856"/>
      <c r="U79" s="385">
        <f t="shared" si="44"/>
        <v>14.560655390479075</v>
      </c>
      <c r="V79" s="385">
        <f t="shared" si="45"/>
        <v>0.81766099384979696</v>
      </c>
      <c r="W79" s="385">
        <f t="shared" si="46"/>
        <v>0.12160086575202106</v>
      </c>
      <c r="X79" s="478">
        <f t="shared" si="42"/>
        <v>17.807692307692307</v>
      </c>
      <c r="Y79" s="478">
        <f t="shared" si="43"/>
        <v>0.14871794871794869</v>
      </c>
    </row>
    <row r="80" spans="1:25" hidden="1" outlineLevel="1">
      <c r="A80" s="858"/>
      <c r="B80" s="859"/>
      <c r="C80" s="382"/>
      <c r="D80" s="382"/>
      <c r="E80" s="382"/>
      <c r="F80" s="382"/>
      <c r="G80" s="382"/>
      <c r="H80" s="382"/>
      <c r="I80" s="382"/>
      <c r="J80" s="382"/>
      <c r="K80" s="382"/>
      <c r="L80" s="382"/>
      <c r="M80" s="382"/>
      <c r="N80" s="382"/>
      <c r="O80" s="382"/>
      <c r="P80" s="382" t="s">
        <v>218</v>
      </c>
      <c r="Q80" s="383">
        <v>39.842636445870667</v>
      </c>
      <c r="R80" s="383">
        <v>2.5744618394766183</v>
      </c>
      <c r="S80" s="383">
        <v>0.29814539685115238</v>
      </c>
      <c r="T80" s="857"/>
      <c r="U80" s="383">
        <f t="shared" si="44"/>
        <v>35.301989267802256</v>
      </c>
      <c r="V80" s="383">
        <f t="shared" si="45"/>
        <v>2.2810645161758445</v>
      </c>
      <c r="W80" s="383">
        <f t="shared" si="46"/>
        <v>0.26416739801301126</v>
      </c>
      <c r="X80" s="479">
        <f t="shared" si="42"/>
        <v>15.476102941176464</v>
      </c>
      <c r="Y80" s="479">
        <f t="shared" si="43"/>
        <v>0.1158088235294117</v>
      </c>
    </row>
    <row r="81" spans="1:25" hidden="1" outlineLevel="1">
      <c r="A81" s="858" t="s">
        <v>176</v>
      </c>
      <c r="B81" s="859" t="s">
        <v>208</v>
      </c>
      <c r="C81" s="380"/>
      <c r="D81" s="380"/>
      <c r="E81" s="380"/>
      <c r="F81" s="380"/>
      <c r="G81" s="380"/>
      <c r="H81" s="380"/>
      <c r="I81" s="380"/>
      <c r="J81" s="380"/>
      <c r="K81" s="380"/>
      <c r="L81" s="380"/>
      <c r="M81" s="380"/>
      <c r="N81" s="380"/>
      <c r="O81" s="380"/>
      <c r="P81" s="380" t="s">
        <v>217</v>
      </c>
      <c r="Q81" s="381">
        <v>5.2715820199112517</v>
      </c>
      <c r="R81" s="381">
        <v>0.29586114667217617</v>
      </c>
      <c r="S81" s="381">
        <v>4.4240919128549716E-2</v>
      </c>
      <c r="T81" s="855">
        <f>'Hałas-zagreg.śred.PL'!R23</f>
        <v>0.12300364960583066</v>
      </c>
      <c r="U81" s="381">
        <f>IFERROR(Q81*(100%+$T$81),"brak")</f>
        <v>5.920005847556812</v>
      </c>
      <c r="V81" s="381">
        <f>IFERROR(R81*(100%+$T$81),"brak")</f>
        <v>0.33225314748941981</v>
      </c>
      <c r="W81" s="381">
        <f>IFERROR(S81*(100%+$T$81),"brak")</f>
        <v>4.9682713643277733E-2</v>
      </c>
      <c r="X81" s="476">
        <f t="shared" si="42"/>
        <v>17.817757009345794</v>
      </c>
      <c r="Y81" s="476">
        <f t="shared" si="43"/>
        <v>0.14953271028037385</v>
      </c>
    </row>
    <row r="82" spans="1:25" hidden="1" outlineLevel="1">
      <c r="A82" s="858"/>
      <c r="B82" s="860"/>
      <c r="C82" s="386"/>
      <c r="D82" s="386"/>
      <c r="E82" s="386"/>
      <c r="F82" s="386"/>
      <c r="G82" s="386"/>
      <c r="H82" s="386"/>
      <c r="I82" s="386"/>
      <c r="J82" s="386"/>
      <c r="K82" s="386"/>
      <c r="L82" s="386"/>
      <c r="M82" s="386"/>
      <c r="N82" s="386"/>
      <c r="O82" s="386"/>
      <c r="P82" s="386" t="s">
        <v>218</v>
      </c>
      <c r="Q82" s="387">
        <v>12.781478041982565</v>
      </c>
      <c r="R82" s="387">
        <v>0.82536964749200548</v>
      </c>
      <c r="S82" s="387">
        <v>9.5394481870935313E-2</v>
      </c>
      <c r="T82" s="856"/>
      <c r="U82" s="387">
        <f t="shared" ref="U82:U84" si="47">IFERROR(Q82*(100%+$T$81),"brak")</f>
        <v>14.353646488503207</v>
      </c>
      <c r="V82" s="387">
        <f t="shared" ref="V82:V84" si="48">IFERROR(R82*(100%+$T$81),"brak")</f>
        <v>0.92689312640740007</v>
      </c>
      <c r="W82" s="387">
        <f t="shared" ref="W82:W84" si="49">IFERROR(S82*(100%+$T$81),"brak")</f>
        <v>0.1071283512933176</v>
      </c>
      <c r="X82" s="477">
        <f t="shared" si="42"/>
        <v>15.485762144053604</v>
      </c>
      <c r="Y82" s="477">
        <f t="shared" si="43"/>
        <v>0.11557788944723618</v>
      </c>
    </row>
    <row r="83" spans="1:25" hidden="1" outlineLevel="1">
      <c r="A83" s="858"/>
      <c r="B83" s="861" t="s">
        <v>209</v>
      </c>
      <c r="C83" s="384"/>
      <c r="D83" s="384"/>
      <c r="E83" s="384"/>
      <c r="F83" s="384"/>
      <c r="G83" s="384"/>
      <c r="H83" s="384"/>
      <c r="I83" s="384"/>
      <c r="J83" s="384"/>
      <c r="K83" s="384"/>
      <c r="L83" s="384"/>
      <c r="M83" s="384"/>
      <c r="N83" s="384"/>
      <c r="O83" s="384"/>
      <c r="P83" s="384" t="s">
        <v>217</v>
      </c>
      <c r="Q83" s="385">
        <v>9.6016619796180542</v>
      </c>
      <c r="R83" s="385">
        <v>0.53918620187919963</v>
      </c>
      <c r="S83" s="385">
        <v>8.018666592049635E-2</v>
      </c>
      <c r="T83" s="856"/>
      <c r="U83" s="385">
        <f t="shared" si="47"/>
        <v>10.78270144539262</v>
      </c>
      <c r="V83" s="385">
        <f t="shared" si="48"/>
        <v>0.60550807252744743</v>
      </c>
      <c r="W83" s="385">
        <f t="shared" si="49"/>
        <v>9.0049918478440891E-2</v>
      </c>
      <c r="X83" s="478">
        <f t="shared" si="42"/>
        <v>17.807692307692307</v>
      </c>
      <c r="Y83" s="478">
        <f t="shared" si="43"/>
        <v>0.14871794871794872</v>
      </c>
    </row>
    <row r="84" spans="1:25" hidden="1" outlineLevel="1">
      <c r="A84" s="858"/>
      <c r="B84" s="859"/>
      <c r="C84" s="382"/>
      <c r="D84" s="382"/>
      <c r="E84" s="382"/>
      <c r="F84" s="382"/>
      <c r="G84" s="382"/>
      <c r="H84" s="382"/>
      <c r="I84" s="382"/>
      <c r="J84" s="382"/>
      <c r="K84" s="382"/>
      <c r="L84" s="382"/>
      <c r="M84" s="382"/>
      <c r="N84" s="382"/>
      <c r="O84" s="382"/>
      <c r="P84" s="382" t="s">
        <v>218</v>
      </c>
      <c r="Q84" s="383">
        <v>23.279018633953754</v>
      </c>
      <c r="R84" s="383">
        <v>1.5041912503706905</v>
      </c>
      <c r="S84" s="383">
        <v>0.17419861906866446</v>
      </c>
      <c r="T84" s="857"/>
      <c r="U84" s="383">
        <f t="shared" si="47"/>
        <v>26.142422885172206</v>
      </c>
      <c r="V84" s="383">
        <f t="shared" si="48"/>
        <v>1.6892122638714431</v>
      </c>
      <c r="W84" s="383">
        <f t="shared" si="49"/>
        <v>0.19562568497040603</v>
      </c>
      <c r="X84" s="479">
        <f t="shared" si="42"/>
        <v>15.476102941176471</v>
      </c>
      <c r="Y84" s="479">
        <f t="shared" si="43"/>
        <v>0.11580882352941173</v>
      </c>
    </row>
    <row r="85" spans="1:25" hidden="1" outlineLevel="1">
      <c r="A85" s="35" t="s">
        <v>383</v>
      </c>
    </row>
    <row r="86" spans="1:25" hidden="1" outlineLevel="1">
      <c r="A86" s="754" t="s">
        <v>765</v>
      </c>
      <c r="B86" s="754"/>
      <c r="C86" s="754"/>
      <c r="D86" s="754"/>
      <c r="E86" s="754"/>
      <c r="F86" s="754"/>
      <c r="G86" s="754"/>
      <c r="H86" s="754"/>
      <c r="I86" s="754"/>
      <c r="J86" s="754"/>
      <c r="K86" s="754"/>
      <c r="L86" s="754"/>
      <c r="M86" s="754"/>
      <c r="N86" s="754"/>
      <c r="O86" s="754"/>
      <c r="P86" s="754"/>
      <c r="Q86" s="754"/>
      <c r="R86" s="754"/>
      <c r="S86" s="754"/>
      <c r="T86" s="754"/>
      <c r="U86" s="754"/>
      <c r="V86" s="754"/>
    </row>
    <row r="87" spans="1:25" s="672" customFormat="1" hidden="1" outlineLevel="1">
      <c r="A87" s="754"/>
      <c r="B87" s="754"/>
      <c r="C87" s="754"/>
      <c r="D87" s="754"/>
      <c r="E87" s="754"/>
      <c r="F87" s="754"/>
      <c r="G87" s="754"/>
      <c r="H87" s="754"/>
      <c r="I87" s="754"/>
      <c r="J87" s="754"/>
      <c r="K87" s="754"/>
      <c r="L87" s="754"/>
      <c r="M87" s="754"/>
      <c r="N87" s="754"/>
      <c r="O87" s="754"/>
      <c r="P87" s="754"/>
      <c r="Q87" s="754"/>
      <c r="R87" s="754"/>
      <c r="S87" s="754"/>
      <c r="T87" s="754"/>
      <c r="U87" s="754"/>
      <c r="V87" s="754"/>
    </row>
    <row r="88" spans="1:25" s="350" customFormat="1" hidden="1" outlineLevel="1"/>
    <row r="89" spans="1:25" hidden="1" outlineLevel="1">
      <c r="A89" s="187" t="s">
        <v>766</v>
      </c>
      <c r="B89" s="391"/>
    </row>
    <row r="90" spans="1:25" hidden="1" outlineLevel="1">
      <c r="A90" s="393" t="s">
        <v>767</v>
      </c>
      <c r="B90" s="394">
        <v>0.85</v>
      </c>
    </row>
    <row r="91" spans="1:25" hidden="1" outlineLevel="1">
      <c r="A91" s="393" t="s">
        <v>768</v>
      </c>
      <c r="B91" s="394">
        <f>100%-B90</f>
        <v>0.15000000000000002</v>
      </c>
    </row>
    <row r="92" spans="1:25" hidden="1" outlineLevel="1">
      <c r="A92" s="35" t="s">
        <v>769</v>
      </c>
      <c r="B92" s="392"/>
    </row>
    <row r="93" spans="1:25" hidden="1" outlineLevel="1">
      <c r="A93" s="789" t="s">
        <v>770</v>
      </c>
      <c r="B93" s="789"/>
      <c r="C93" s="789"/>
      <c r="D93" s="789"/>
      <c r="E93" s="789"/>
      <c r="F93" s="789"/>
      <c r="G93" s="789"/>
      <c r="H93" s="789"/>
      <c r="I93" s="789"/>
      <c r="J93" s="789"/>
      <c r="K93" s="789"/>
      <c r="L93" s="789"/>
      <c r="M93" s="789"/>
      <c r="N93" s="789"/>
      <c r="O93" s="789"/>
      <c r="P93" s="789"/>
      <c r="Q93" s="789"/>
      <c r="R93" s="789"/>
      <c r="S93" s="789"/>
      <c r="T93" s="789"/>
      <c r="U93" s="789"/>
      <c r="V93" s="789"/>
    </row>
    <row r="94" spans="1:25" s="672" customFormat="1" hidden="1" outlineLevel="1">
      <c r="A94" s="789"/>
      <c r="B94" s="789"/>
      <c r="C94" s="789"/>
      <c r="D94" s="789"/>
      <c r="E94" s="789"/>
      <c r="F94" s="789"/>
      <c r="G94" s="789"/>
      <c r="H94" s="789"/>
      <c r="I94" s="789"/>
      <c r="J94" s="789"/>
      <c r="K94" s="789"/>
      <c r="L94" s="789"/>
      <c r="M94" s="789"/>
      <c r="N94" s="789"/>
      <c r="O94" s="789"/>
      <c r="P94" s="789"/>
      <c r="Q94" s="789"/>
      <c r="R94" s="789"/>
      <c r="S94" s="789"/>
      <c r="T94" s="789"/>
      <c r="U94" s="789"/>
      <c r="V94" s="789"/>
    </row>
    <row r="95" spans="1:25" s="672" customFormat="1" hidden="1" outlineLevel="1">
      <c r="A95" s="789"/>
      <c r="B95" s="789"/>
      <c r="C95" s="789"/>
      <c r="D95" s="789"/>
      <c r="E95" s="789"/>
      <c r="F95" s="789"/>
      <c r="G95" s="789"/>
      <c r="H95" s="789"/>
      <c r="I95" s="789"/>
      <c r="J95" s="789"/>
      <c r="K95" s="789"/>
      <c r="L95" s="789"/>
      <c r="M95" s="789"/>
      <c r="N95" s="789"/>
      <c r="O95" s="789"/>
      <c r="P95" s="789"/>
      <c r="Q95" s="789"/>
      <c r="R95" s="789"/>
      <c r="S95" s="789"/>
      <c r="T95" s="789"/>
      <c r="U95" s="789"/>
      <c r="V95" s="789"/>
    </row>
    <row r="96" spans="1:25" s="672" customFormat="1" hidden="1" outlineLevel="1">
      <c r="A96" s="789"/>
      <c r="B96" s="789"/>
      <c r="C96" s="789"/>
      <c r="D96" s="789"/>
      <c r="E96" s="789"/>
      <c r="F96" s="789"/>
      <c r="G96" s="789"/>
      <c r="H96" s="789"/>
      <c r="I96" s="789"/>
      <c r="J96" s="789"/>
      <c r="K96" s="789"/>
      <c r="L96" s="789"/>
      <c r="M96" s="789"/>
      <c r="N96" s="789"/>
      <c r="O96" s="789"/>
      <c r="P96" s="789"/>
      <c r="Q96" s="789"/>
      <c r="R96" s="789"/>
      <c r="S96" s="789"/>
      <c r="T96" s="789"/>
      <c r="U96" s="789"/>
      <c r="V96" s="789"/>
    </row>
    <row r="97" spans="1:22" hidden="1" outlineLevel="1"/>
    <row r="98" spans="1:22" s="513" customFormat="1" hidden="1" outlineLevel="1">
      <c r="A98" s="513" t="s">
        <v>125</v>
      </c>
      <c r="B98" s="144">
        <f>1/100</f>
        <v>0.01</v>
      </c>
    </row>
    <row r="99" spans="1:22" s="513" customFormat="1" hidden="1" outlineLevel="1"/>
    <row r="100" spans="1:22" s="350" customFormat="1" hidden="1" outlineLevel="1">
      <c r="A100" s="9" t="s">
        <v>2</v>
      </c>
      <c r="B100" s="6"/>
      <c r="C100" s="6"/>
      <c r="D100" s="6"/>
      <c r="E100" s="6"/>
      <c r="F100" s="6"/>
      <c r="G100" s="6"/>
      <c r="H100" s="6"/>
      <c r="I100" s="6"/>
      <c r="J100" s="6"/>
      <c r="K100" s="6"/>
      <c r="L100" s="6"/>
      <c r="M100" s="6"/>
      <c r="N100" s="6"/>
      <c r="O100" s="6"/>
      <c r="P100" s="6"/>
      <c r="Q100" s="6">
        <v>2016</v>
      </c>
    </row>
    <row r="101" spans="1:22" s="350" customFormat="1" hidden="1" outlineLevel="1">
      <c r="A101" s="8" t="s">
        <v>3</v>
      </c>
      <c r="B101" s="12"/>
      <c r="C101" s="12"/>
      <c r="D101" s="12"/>
      <c r="E101" s="12"/>
      <c r="F101" s="12"/>
      <c r="G101" s="12"/>
      <c r="H101" s="12"/>
      <c r="I101" s="12"/>
      <c r="J101" s="12"/>
      <c r="K101" s="12"/>
      <c r="L101" s="12"/>
      <c r="M101" s="12"/>
      <c r="N101" s="12"/>
      <c r="O101" s="12"/>
      <c r="P101" s="12"/>
      <c r="Q101" s="11">
        <f>Indeksacja!$Q$41</f>
        <v>4.3632</v>
      </c>
    </row>
    <row r="102" spans="1:22" s="350" customFormat="1" hidden="1" outlineLevel="1">
      <c r="A102" s="35" t="str">
        <f>Indeksacja!$A$42</f>
        <v>Źródło: ECB, http://sdw.ecb.europa.eu/quickview.do?SERIES_KEY=120.EXR.A.PLN.EUR.SP00.A</v>
      </c>
    </row>
    <row r="103" spans="1:22" hidden="1" outlineLevel="1"/>
    <row r="104" spans="1:22" s="471" customFormat="1" hidden="1" outlineLevel="1">
      <c r="A104" s="9" t="s">
        <v>565</v>
      </c>
      <c r="B104" s="6"/>
      <c r="C104" s="6"/>
      <c r="D104" s="6"/>
      <c r="E104" s="6"/>
      <c r="F104" s="6"/>
      <c r="G104" s="6"/>
      <c r="H104" s="6"/>
      <c r="I104" s="6"/>
      <c r="J104" s="6"/>
      <c r="K104" s="6"/>
      <c r="L104" s="6"/>
      <c r="M104" s="6"/>
      <c r="N104" s="6"/>
      <c r="O104" s="6"/>
      <c r="P104" s="6"/>
      <c r="Q104" s="6">
        <v>2016</v>
      </c>
    </row>
    <row r="105" spans="1:22" s="471" customFormat="1" hidden="1" outlineLevel="1">
      <c r="A105" s="8" t="s">
        <v>62</v>
      </c>
      <c r="B105" s="484"/>
      <c r="C105" s="484"/>
      <c r="D105" s="484"/>
      <c r="E105" s="484"/>
      <c r="F105" s="484"/>
      <c r="G105" s="484"/>
      <c r="H105" s="484"/>
      <c r="I105" s="484"/>
      <c r="J105" s="484"/>
      <c r="K105" s="484"/>
      <c r="L105" s="484"/>
      <c r="M105" s="484"/>
      <c r="N105" s="484"/>
      <c r="O105" s="484"/>
      <c r="P105" s="484"/>
      <c r="Q105" s="470">
        <f>Indeksacja!$Q$44</f>
        <v>68.2</v>
      </c>
    </row>
    <row r="106" spans="1:22" s="471" customFormat="1" hidden="1" outlineLevel="1">
      <c r="A106" s="35" t="str">
        <f>Indeksacja!$A$45</f>
        <v>Źródło: Eurostat, https://ec.europa.eu/eurostat/data/database Main GDP aggregates per capita [nama_10_pc] (aktualizacja 28.01.2022)</v>
      </c>
    </row>
    <row r="107" spans="1:22" s="471" customFormat="1" hidden="1" outlineLevel="1">
      <c r="Q107" s="14"/>
    </row>
    <row r="108" spans="1:22" s="592" customFormat="1" hidden="1" outlineLevel="1">
      <c r="A108" s="774" t="str">
        <f>'VoT czas ładunki'!$A$41</f>
        <v xml:space="preserve">Wyjaśnienie w sprawie przeliczenia wyjściowych wartości kosztów jednostkowych z zastosowaniem kursu walutowego PLN/EUR oraz PKB Polski per capita w jednostkach siły nabywczej (PPS): </v>
      </c>
      <c r="B108" s="774"/>
      <c r="C108" s="774"/>
      <c r="D108" s="774"/>
      <c r="E108" s="774"/>
      <c r="F108" s="774"/>
      <c r="G108" s="774"/>
      <c r="H108" s="774"/>
      <c r="I108" s="774"/>
      <c r="J108" s="774"/>
      <c r="K108" s="774"/>
      <c r="L108" s="774"/>
      <c r="M108" s="774"/>
      <c r="N108" s="774"/>
      <c r="O108" s="774"/>
      <c r="P108" s="774"/>
      <c r="Q108" s="774"/>
      <c r="R108" s="774"/>
      <c r="S108" s="774"/>
      <c r="T108" s="774"/>
      <c r="U108" s="774"/>
      <c r="V108" s="774"/>
    </row>
    <row r="109" spans="1:22" s="672" customFormat="1" hidden="1" outlineLevel="1">
      <c r="A109" s="774"/>
      <c r="B109" s="774"/>
      <c r="C109" s="774"/>
      <c r="D109" s="774"/>
      <c r="E109" s="774"/>
      <c r="F109" s="774"/>
      <c r="G109" s="774"/>
      <c r="H109" s="774"/>
      <c r="I109" s="774"/>
      <c r="J109" s="774"/>
      <c r="K109" s="774"/>
      <c r="L109" s="774"/>
      <c r="M109" s="774"/>
      <c r="N109" s="774"/>
      <c r="O109" s="774"/>
      <c r="P109" s="774"/>
      <c r="Q109" s="774"/>
      <c r="R109" s="774"/>
      <c r="S109" s="774"/>
      <c r="T109" s="774"/>
      <c r="U109" s="774"/>
      <c r="V109" s="774"/>
    </row>
    <row r="110" spans="1:22" s="592" customFormat="1" hidden="1" outlineLevel="1">
      <c r="A110" s="517" t="s">
        <v>511</v>
      </c>
      <c r="Q110" s="14"/>
    </row>
    <row r="111" spans="1:22" s="592" customFormat="1" hidden="1" outlineLevel="1">
      <c r="Q111" s="14"/>
    </row>
    <row r="112" spans="1:22" collapsed="1">
      <c r="A112" s="1" t="s">
        <v>918</v>
      </c>
    </row>
    <row r="113" spans="1:61">
      <c r="A113" s="416" t="s">
        <v>230</v>
      </c>
      <c r="B113" s="663" t="s">
        <v>309</v>
      </c>
      <c r="C113" s="649"/>
      <c r="D113" s="649"/>
      <c r="E113" s="649"/>
      <c r="F113" s="649"/>
      <c r="G113" s="649"/>
      <c r="H113" s="649"/>
      <c r="I113" s="649"/>
      <c r="J113" s="649"/>
      <c r="K113" s="649"/>
      <c r="L113" s="649"/>
      <c r="M113" s="649"/>
      <c r="N113" s="649"/>
      <c r="O113" s="649"/>
      <c r="P113" s="652"/>
      <c r="Q113" s="6"/>
      <c r="R113" s="6"/>
      <c r="S113" s="6"/>
      <c r="T113" s="6">
        <v>2020</v>
      </c>
      <c r="U113" s="6">
        <f>T113+1</f>
        <v>2021</v>
      </c>
      <c r="V113" s="6">
        <f t="shared" ref="V113:BI113" si="50">U113+1</f>
        <v>2022</v>
      </c>
      <c r="W113" s="6">
        <f t="shared" si="50"/>
        <v>2023</v>
      </c>
      <c r="X113" s="6">
        <f t="shared" si="50"/>
        <v>2024</v>
      </c>
      <c r="Y113" s="6">
        <f t="shared" si="50"/>
        <v>2025</v>
      </c>
      <c r="Z113" s="6">
        <f t="shared" si="50"/>
        <v>2026</v>
      </c>
      <c r="AA113" s="6">
        <f t="shared" si="50"/>
        <v>2027</v>
      </c>
      <c r="AB113" s="6">
        <f t="shared" si="50"/>
        <v>2028</v>
      </c>
      <c r="AC113" s="6">
        <f t="shared" si="50"/>
        <v>2029</v>
      </c>
      <c r="AD113" s="6">
        <f t="shared" si="50"/>
        <v>2030</v>
      </c>
      <c r="AE113" s="6">
        <f t="shared" si="50"/>
        <v>2031</v>
      </c>
      <c r="AF113" s="6">
        <f t="shared" si="50"/>
        <v>2032</v>
      </c>
      <c r="AG113" s="6">
        <f t="shared" si="50"/>
        <v>2033</v>
      </c>
      <c r="AH113" s="6">
        <f t="shared" si="50"/>
        <v>2034</v>
      </c>
      <c r="AI113" s="6">
        <f t="shared" si="50"/>
        <v>2035</v>
      </c>
      <c r="AJ113" s="6">
        <f t="shared" si="50"/>
        <v>2036</v>
      </c>
      <c r="AK113" s="6">
        <f t="shared" si="50"/>
        <v>2037</v>
      </c>
      <c r="AL113" s="6">
        <f t="shared" si="50"/>
        <v>2038</v>
      </c>
      <c r="AM113" s="6">
        <f t="shared" si="50"/>
        <v>2039</v>
      </c>
      <c r="AN113" s="6">
        <f t="shared" si="50"/>
        <v>2040</v>
      </c>
      <c r="AO113" s="6">
        <f t="shared" si="50"/>
        <v>2041</v>
      </c>
      <c r="AP113" s="6">
        <f t="shared" si="50"/>
        <v>2042</v>
      </c>
      <c r="AQ113" s="6">
        <f t="shared" si="50"/>
        <v>2043</v>
      </c>
      <c r="AR113" s="6">
        <f t="shared" si="50"/>
        <v>2044</v>
      </c>
      <c r="AS113" s="6">
        <f t="shared" si="50"/>
        <v>2045</v>
      </c>
      <c r="AT113" s="6">
        <f t="shared" si="50"/>
        <v>2046</v>
      </c>
      <c r="AU113" s="6">
        <f t="shared" si="50"/>
        <v>2047</v>
      </c>
      <c r="AV113" s="6">
        <f t="shared" si="50"/>
        <v>2048</v>
      </c>
      <c r="AW113" s="6">
        <f t="shared" si="50"/>
        <v>2049</v>
      </c>
      <c r="AX113" s="6">
        <f t="shared" si="50"/>
        <v>2050</v>
      </c>
      <c r="AY113" s="6">
        <f t="shared" si="50"/>
        <v>2051</v>
      </c>
      <c r="AZ113" s="6">
        <f t="shared" si="50"/>
        <v>2052</v>
      </c>
      <c r="BA113" s="6">
        <f t="shared" si="50"/>
        <v>2053</v>
      </c>
      <c r="BB113" s="6">
        <f t="shared" si="50"/>
        <v>2054</v>
      </c>
      <c r="BC113" s="6">
        <f t="shared" si="50"/>
        <v>2055</v>
      </c>
      <c r="BD113" s="6">
        <f t="shared" si="50"/>
        <v>2056</v>
      </c>
      <c r="BE113" s="6">
        <f t="shared" si="50"/>
        <v>2057</v>
      </c>
      <c r="BF113" s="6">
        <f t="shared" si="50"/>
        <v>2058</v>
      </c>
      <c r="BG113" s="6">
        <f t="shared" si="50"/>
        <v>2059</v>
      </c>
      <c r="BH113" s="6">
        <f t="shared" si="50"/>
        <v>2060</v>
      </c>
      <c r="BI113" s="6">
        <f t="shared" si="50"/>
        <v>2061</v>
      </c>
    </row>
    <row r="114" spans="1:61" s="350" customFormat="1">
      <c r="A114" s="388" t="s">
        <v>224</v>
      </c>
      <c r="B114" s="664" t="s">
        <v>510</v>
      </c>
      <c r="C114" s="659"/>
      <c r="D114" s="659"/>
      <c r="E114" s="659"/>
      <c r="F114" s="659"/>
      <c r="G114" s="659"/>
      <c r="H114" s="659"/>
      <c r="I114" s="659"/>
      <c r="J114" s="659"/>
      <c r="K114" s="659"/>
      <c r="L114" s="659"/>
      <c r="M114" s="659"/>
      <c r="N114" s="659"/>
      <c r="O114" s="659"/>
      <c r="P114" s="665"/>
      <c r="Q114" s="661">
        <f>DATE(2016,12,31)</f>
        <v>42735</v>
      </c>
      <c r="R114" s="661">
        <f>DATE(YEAR(Q114+1),12,31)</f>
        <v>43100</v>
      </c>
      <c r="S114" s="661">
        <f t="shared" ref="S114" si="51">DATE(YEAR(R114+1),12,31)</f>
        <v>43465</v>
      </c>
      <c r="T114" s="661">
        <f>DATE(YEAR(S114+1),12,31)</f>
        <v>43830</v>
      </c>
      <c r="U114" s="661">
        <f t="shared" ref="U114:BI114" si="52">DATE(YEAR(T114+1),12,31)</f>
        <v>44196</v>
      </c>
      <c r="V114" s="661">
        <f t="shared" si="52"/>
        <v>44561</v>
      </c>
      <c r="W114" s="661">
        <f t="shared" si="52"/>
        <v>44926</v>
      </c>
      <c r="X114" s="661">
        <f t="shared" si="52"/>
        <v>45291</v>
      </c>
      <c r="Y114" s="661">
        <f t="shared" si="52"/>
        <v>45657</v>
      </c>
      <c r="Z114" s="661">
        <f t="shared" si="52"/>
        <v>46022</v>
      </c>
      <c r="AA114" s="661">
        <f t="shared" si="52"/>
        <v>46387</v>
      </c>
      <c r="AB114" s="661">
        <f t="shared" si="52"/>
        <v>46752</v>
      </c>
      <c r="AC114" s="661">
        <f t="shared" si="52"/>
        <v>47118</v>
      </c>
      <c r="AD114" s="661">
        <f t="shared" si="52"/>
        <v>47483</v>
      </c>
      <c r="AE114" s="661">
        <f t="shared" si="52"/>
        <v>47848</v>
      </c>
      <c r="AF114" s="661">
        <f t="shared" si="52"/>
        <v>48213</v>
      </c>
      <c r="AG114" s="661">
        <f t="shared" si="52"/>
        <v>48579</v>
      </c>
      <c r="AH114" s="661">
        <f t="shared" si="52"/>
        <v>48944</v>
      </c>
      <c r="AI114" s="661">
        <f t="shared" si="52"/>
        <v>49309</v>
      </c>
      <c r="AJ114" s="661">
        <f t="shared" si="52"/>
        <v>49674</v>
      </c>
      <c r="AK114" s="661">
        <f t="shared" si="52"/>
        <v>50040</v>
      </c>
      <c r="AL114" s="661">
        <f t="shared" si="52"/>
        <v>50405</v>
      </c>
      <c r="AM114" s="661">
        <f t="shared" si="52"/>
        <v>50770</v>
      </c>
      <c r="AN114" s="661">
        <f t="shared" si="52"/>
        <v>51135</v>
      </c>
      <c r="AO114" s="661">
        <f t="shared" si="52"/>
        <v>51501</v>
      </c>
      <c r="AP114" s="661">
        <f t="shared" si="52"/>
        <v>51866</v>
      </c>
      <c r="AQ114" s="661">
        <f t="shared" si="52"/>
        <v>52231</v>
      </c>
      <c r="AR114" s="661">
        <f t="shared" si="52"/>
        <v>52596</v>
      </c>
      <c r="AS114" s="661">
        <f t="shared" si="52"/>
        <v>52962</v>
      </c>
      <c r="AT114" s="661">
        <f t="shared" si="52"/>
        <v>53327</v>
      </c>
      <c r="AU114" s="661">
        <f t="shared" si="52"/>
        <v>53692</v>
      </c>
      <c r="AV114" s="661">
        <f t="shared" si="52"/>
        <v>54057</v>
      </c>
      <c r="AW114" s="661">
        <f t="shared" si="52"/>
        <v>54423</v>
      </c>
      <c r="AX114" s="661">
        <f t="shared" si="52"/>
        <v>54788</v>
      </c>
      <c r="AY114" s="661">
        <f t="shared" si="52"/>
        <v>55153</v>
      </c>
      <c r="AZ114" s="661">
        <f t="shared" si="52"/>
        <v>55518</v>
      </c>
      <c r="BA114" s="661">
        <f t="shared" si="52"/>
        <v>55884</v>
      </c>
      <c r="BB114" s="661">
        <f t="shared" si="52"/>
        <v>56249</v>
      </c>
      <c r="BC114" s="661">
        <f t="shared" si="52"/>
        <v>56614</v>
      </c>
      <c r="BD114" s="661">
        <f t="shared" si="52"/>
        <v>56979</v>
      </c>
      <c r="BE114" s="661">
        <f t="shared" si="52"/>
        <v>57345</v>
      </c>
      <c r="BF114" s="661">
        <f t="shared" si="52"/>
        <v>57710</v>
      </c>
      <c r="BG114" s="661">
        <f t="shared" si="52"/>
        <v>58075</v>
      </c>
      <c r="BH114" s="661">
        <f t="shared" si="52"/>
        <v>58440</v>
      </c>
      <c r="BI114" s="661">
        <f t="shared" si="52"/>
        <v>58806</v>
      </c>
    </row>
    <row r="115" spans="1:61">
      <c r="A115" s="854" t="s">
        <v>71</v>
      </c>
      <c r="B115" s="403" t="s">
        <v>208</v>
      </c>
      <c r="C115" s="409"/>
      <c r="D115" s="409"/>
      <c r="E115" s="409"/>
      <c r="F115" s="409"/>
      <c r="G115" s="409"/>
      <c r="H115" s="409"/>
      <c r="I115" s="409"/>
      <c r="J115" s="409"/>
      <c r="K115" s="409"/>
      <c r="L115" s="409"/>
      <c r="M115" s="409"/>
      <c r="N115" s="409"/>
      <c r="O115" s="409"/>
      <c r="P115" s="410"/>
      <c r="Q115" s="417">
        <f>AVERAGE(U23:U24)*$B$98*$Q$101*$Q$105/100</f>
        <v>4.2585170700945418E-2</v>
      </c>
      <c r="R115" s="414">
        <f>Q115*Indeksacja!R$61</f>
        <v>4.5209070912056074E-2</v>
      </c>
      <c r="S115" s="407">
        <f>R115*Indeksacja!S$61</f>
        <v>4.8101696035336795E-2</v>
      </c>
      <c r="T115" s="407">
        <f>S115*Indeksacja!T$61</f>
        <v>5.0980839678953747E-2</v>
      </c>
      <c r="U115" s="407">
        <f>T115*Indeksacja!U$61</f>
        <v>5.186425093401046E-2</v>
      </c>
      <c r="V115" s="407">
        <f>U115*Indeksacja!V$61</f>
        <v>5.7532601517952843E-2</v>
      </c>
      <c r="W115" s="407">
        <f>V115*Indeksacja!W$61</f>
        <v>6.8776950849618934E-2</v>
      </c>
      <c r="X115" s="407">
        <f>W115*Indeksacja!X$61</f>
        <v>7.6740534062813184E-2</v>
      </c>
      <c r="Y115" s="407">
        <f>X115*Indeksacja!Y$61</f>
        <v>7.8843928807497451E-2</v>
      </c>
      <c r="Z115" s="407">
        <f>Y115*Indeksacja!Z$61</f>
        <v>8.1387255419629115E-2</v>
      </c>
      <c r="AA115" s="407">
        <f>Z115*Indeksacja!AA$61</f>
        <v>8.3823773873271126E-2</v>
      </c>
      <c r="AB115" s="407">
        <f>AA115*Indeksacja!AB$61</f>
        <v>8.5898623493930557E-2</v>
      </c>
      <c r="AC115" s="407">
        <f>AB115*Indeksacja!AC$61</f>
        <v>8.8032290825830611E-2</v>
      </c>
      <c r="AD115" s="407">
        <f>AC115*Indeksacja!AD$61</f>
        <v>9.0161508642455437E-2</v>
      </c>
      <c r="AE115" s="407">
        <f>AD115*Indeksacja!AE$61</f>
        <v>9.2281914991692304E-2</v>
      </c>
      <c r="AF115" s="407">
        <f>AE115*Indeksacja!AF$61</f>
        <v>9.4271806399802469E-2</v>
      </c>
      <c r="AG115" s="407">
        <f>AF115*Indeksacja!AG$61</f>
        <v>9.6184228164438029E-2</v>
      </c>
      <c r="AH115" s="407">
        <f>AG115*Indeksacja!AH$61</f>
        <v>9.8162715697704156E-2</v>
      </c>
      <c r="AI115" s="407">
        <f>AH115*Indeksacja!AI$61</f>
        <v>0.10019832539727064</v>
      </c>
      <c r="AJ115" s="407">
        <f>AI115*Indeksacja!AJ$61</f>
        <v>0.10213125748270867</v>
      </c>
      <c r="AK115" s="407">
        <f>AJ115*Indeksacja!AK$61</f>
        <v>0.10403376036099711</v>
      </c>
      <c r="AL115" s="407">
        <f>AK115*Indeksacja!AL$61</f>
        <v>0.10589582710236407</v>
      </c>
      <c r="AM115" s="407">
        <f>AL115*Indeksacja!AM$61</f>
        <v>0.10771816915270117</v>
      </c>
      <c r="AN115" s="407">
        <f>AM115*Indeksacja!AN$61</f>
        <v>0.10940874976849896</v>
      </c>
      <c r="AO115" s="407">
        <f>AN115*Indeksacja!AO$61</f>
        <v>0.1109583559911675</v>
      </c>
      <c r="AP115" s="407">
        <f>AO115*Indeksacja!AP$61</f>
        <v>0.11244848151866378</v>
      </c>
      <c r="AQ115" s="407">
        <f>AP115*Indeksacja!AQ$61</f>
        <v>0.1137847325717203</v>
      </c>
      <c r="AR115" s="407">
        <f>AQ115*Indeksacja!AR$61</f>
        <v>0.11504628543692533</v>
      </c>
      <c r="AS115" s="407">
        <f>AR115*Indeksacja!AS$61</f>
        <v>0.11632851004781744</v>
      </c>
      <c r="AT115" s="407">
        <f>AS115*Indeksacja!AT$61</f>
        <v>0.11763868119860171</v>
      </c>
      <c r="AU115" s="407">
        <f>AT115*Indeksacja!AU$61</f>
        <v>0.11896989672531304</v>
      </c>
      <c r="AV115" s="407">
        <f>AU115*Indeksacja!AV$61</f>
        <v>0.1203223804466001</v>
      </c>
      <c r="AW115" s="407">
        <f>AV115*Indeksacja!AW$61</f>
        <v>0.12169775255107232</v>
      </c>
      <c r="AX115" s="407">
        <f>AW115*Indeksacja!AX$61</f>
        <v>0.1229929071022192</v>
      </c>
      <c r="AY115" s="407">
        <f>AX115*Indeksacja!AY$61</f>
        <v>0.12431091704153048</v>
      </c>
      <c r="AZ115" s="407">
        <f>AY115*Indeksacja!AZ$61</f>
        <v>0.12565311030870199</v>
      </c>
      <c r="BA115" s="407">
        <f>AZ115*Indeksacja!BA$61</f>
        <v>0.12702927330025293</v>
      </c>
      <c r="BB115" s="407">
        <f>BA115*Indeksacja!BB$61</f>
        <v>0.12853465136133035</v>
      </c>
      <c r="BC115" s="407">
        <f>BB115*Indeksacja!BC$61</f>
        <v>0.13007103653665913</v>
      </c>
      <c r="BD115" s="407">
        <f>BC115*Indeksacja!BD$61</f>
        <v>0.13164056965241727</v>
      </c>
      <c r="BE115" s="407">
        <f>BD115*Indeksacja!BE$61</f>
        <v>0.13324383691948136</v>
      </c>
      <c r="BF115" s="407">
        <f>BE115*Indeksacja!BF$61</f>
        <v>0.13498908160996567</v>
      </c>
      <c r="BG115" s="407">
        <f>BF115*Indeksacja!BG$61</f>
        <v>0.13678198308153333</v>
      </c>
      <c r="BH115" s="407">
        <f>BG115*Indeksacja!BH$61</f>
        <v>0.13861479014807032</v>
      </c>
      <c r="BI115" s="407">
        <f>BH115*Indeksacja!BI$61</f>
        <v>0.14059202412731045</v>
      </c>
    </row>
    <row r="116" spans="1:61">
      <c r="A116" s="854"/>
      <c r="B116" s="404" t="s">
        <v>209</v>
      </c>
      <c r="C116" s="411"/>
      <c r="D116" s="411"/>
      <c r="E116" s="411"/>
      <c r="F116" s="411"/>
      <c r="G116" s="411"/>
      <c r="H116" s="411"/>
      <c r="I116" s="411"/>
      <c r="J116" s="411"/>
      <c r="K116" s="411"/>
      <c r="L116" s="411"/>
      <c r="M116" s="411"/>
      <c r="N116" s="411"/>
      <c r="O116" s="411"/>
      <c r="P116" s="412"/>
      <c r="Q116" s="418">
        <f>AVERAGE(U25:U26)*$B$98*$Q$101*$Q$105/100</f>
        <v>7.7556530254363459E-2</v>
      </c>
      <c r="R116" s="415">
        <f>Q116*Indeksacja!R$61</f>
        <v>8.2335203035471177E-2</v>
      </c>
      <c r="S116" s="408">
        <f>R116*Indeksacja!S$61</f>
        <v>8.7603280260374075E-2</v>
      </c>
      <c r="T116" s="408">
        <f>S116*Indeksacja!T$61</f>
        <v>9.2846804882382436E-2</v>
      </c>
      <c r="U116" s="408">
        <f>T116*Indeksacja!U$61</f>
        <v>9.4455682118333731E-2</v>
      </c>
      <c r="V116" s="408">
        <f>U116*Indeksacja!V$61</f>
        <v>0.10477893775685361</v>
      </c>
      <c r="W116" s="408">
        <f>V116*Indeksacja!W$61</f>
        <v>0.12525725696463905</v>
      </c>
      <c r="X116" s="408">
        <f>W116*Indeksacja!X$61</f>
        <v>0.13976061276294113</v>
      </c>
      <c r="Y116" s="408">
        <f>X116*Indeksacja!Y$61</f>
        <v>0.1435913358871613</v>
      </c>
      <c r="Z116" s="408">
        <f>Y116*Indeksacja!Z$61</f>
        <v>0.14822326724011317</v>
      </c>
      <c r="AA116" s="408">
        <f>Z116*Indeksacja!AA$61</f>
        <v>0.15266067852800563</v>
      </c>
      <c r="AB116" s="408">
        <f>AA116*Indeksacja!AB$61</f>
        <v>0.15643941499258332</v>
      </c>
      <c r="AC116" s="408">
        <f>AB116*Indeksacja!AC$61</f>
        <v>0.16032527084934003</v>
      </c>
      <c r="AD116" s="408">
        <f>AC116*Indeksacja!AD$61</f>
        <v>0.16420302320526819</v>
      </c>
      <c r="AE116" s="408">
        <f>AD116*Indeksacja!AE$61</f>
        <v>0.16806472803042891</v>
      </c>
      <c r="AF116" s="408">
        <f>AE116*Indeksacja!AF$61</f>
        <v>0.17168873776564333</v>
      </c>
      <c r="AG116" s="408">
        <f>AF116*Indeksacja!AG$61</f>
        <v>0.17517165902688811</v>
      </c>
      <c r="AH116" s="408">
        <f>AG116*Indeksacja!AH$61</f>
        <v>0.17877489991346809</v>
      </c>
      <c r="AI116" s="408">
        <f>AH116*Indeksacja!AI$61</f>
        <v>0.18248217224916402</v>
      </c>
      <c r="AJ116" s="408">
        <f>AI116*Indeksacja!AJ$61</f>
        <v>0.18600244710767425</v>
      </c>
      <c r="AK116" s="408">
        <f>AJ116*Indeksacja!AK$61</f>
        <v>0.18946730399588946</v>
      </c>
      <c r="AL116" s="408">
        <f>AK116*Indeksacja!AL$61</f>
        <v>0.19285851819523198</v>
      </c>
      <c r="AM116" s="408">
        <f>AL116*Indeksacja!AM$61</f>
        <v>0.19617738539793242</v>
      </c>
      <c r="AN116" s="408">
        <f>AM116*Indeksacja!AN$61</f>
        <v>0.19925628738466675</v>
      </c>
      <c r="AO116" s="408">
        <f>AN116*Indeksacja!AO$61</f>
        <v>0.20207844542495554</v>
      </c>
      <c r="AP116" s="408">
        <f>AO116*Indeksacja!AP$61</f>
        <v>0.20479227664023111</v>
      </c>
      <c r="AQ116" s="408">
        <f>AP116*Indeksacja!AQ$61</f>
        <v>0.20722587015454574</v>
      </c>
      <c r="AR116" s="408">
        <f>AQ116*Indeksacja!AR$61</f>
        <v>0.20952342259703438</v>
      </c>
      <c r="AS116" s="408">
        <f>AR116*Indeksacja!AS$61</f>
        <v>0.21185862262537045</v>
      </c>
      <c r="AT116" s="408">
        <f>AS116*Indeksacja!AT$61</f>
        <v>0.21424471916605989</v>
      </c>
      <c r="AU116" s="408">
        <f>AT116*Indeksacja!AU$61</f>
        <v>0.21666914193044187</v>
      </c>
      <c r="AV116" s="408">
        <f>AU116*Indeksacja!AV$61</f>
        <v>0.21913229853923305</v>
      </c>
      <c r="AW116" s="408">
        <f>AV116*Indeksacja!AW$61</f>
        <v>0.22163713969580823</v>
      </c>
      <c r="AX116" s="408">
        <f>AW116*Indeksacja!AX$61</f>
        <v>0.22399588785806157</v>
      </c>
      <c r="AY116" s="408">
        <f>AX116*Indeksacja!AY$61</f>
        <v>0.2263962604772437</v>
      </c>
      <c r="AZ116" s="408">
        <f>AY116*Indeksacja!AZ$61</f>
        <v>0.22884067601014374</v>
      </c>
      <c r="BA116" s="408">
        <f>AZ116*Indeksacja!BA$61</f>
        <v>0.23134695753801809</v>
      </c>
      <c r="BB116" s="408">
        <f>BA116*Indeksacja!BB$61</f>
        <v>0.23408856681694049</v>
      </c>
      <c r="BC116" s="408">
        <f>BB116*Indeksacja!BC$61</f>
        <v>0.23688664655623567</v>
      </c>
      <c r="BD116" s="408">
        <f>BC116*Indeksacja!BD$61</f>
        <v>0.23974509564952107</v>
      </c>
      <c r="BE116" s="408">
        <f>BD116*Indeksacja!BE$61</f>
        <v>0.24266498170979051</v>
      </c>
      <c r="BF116" s="408">
        <f>BE116*Indeksacja!BF$61</f>
        <v>0.24584343844510209</v>
      </c>
      <c r="BG116" s="408">
        <f>BF116*Indeksacja!BG$61</f>
        <v>0.24910868817720291</v>
      </c>
      <c r="BH116" s="408">
        <f>BG116*Indeksacja!BH$61</f>
        <v>0.25244661436997334</v>
      </c>
      <c r="BI116" s="408">
        <f>BH116*Indeksacja!BI$61</f>
        <v>0.25604757227167524</v>
      </c>
    </row>
    <row r="117" spans="1:61">
      <c r="A117" s="854"/>
      <c r="B117" s="402" t="s">
        <v>227</v>
      </c>
      <c r="C117" s="377"/>
      <c r="D117" s="377"/>
      <c r="E117" s="377"/>
      <c r="F117" s="377"/>
      <c r="G117" s="377"/>
      <c r="H117" s="377"/>
      <c r="I117" s="377"/>
      <c r="J117" s="377"/>
      <c r="K117" s="377"/>
      <c r="L117" s="377"/>
      <c r="M117" s="377"/>
      <c r="N117" s="377"/>
      <c r="O117" s="377"/>
      <c r="P117" s="413"/>
      <c r="Q117" s="374">
        <f>Q115*$B$90+Q116*$B$91</f>
        <v>4.7830874633958124E-2</v>
      </c>
      <c r="R117" s="374">
        <f>R115*$B$90+R116*$B$91</f>
        <v>5.0777990730568337E-2</v>
      </c>
      <c r="S117" s="374">
        <f t="shared" ref="S117:BI117" si="53">S115*$B$90+S116*$B$91</f>
        <v>5.4026933669092392E-2</v>
      </c>
      <c r="T117" s="374">
        <f t="shared" si="53"/>
        <v>5.7260734459468055E-2</v>
      </c>
      <c r="U117" s="374">
        <f t="shared" si="53"/>
        <v>5.8252965611658949E-2</v>
      </c>
      <c r="V117" s="374">
        <f t="shared" si="53"/>
        <v>6.4619551953787963E-2</v>
      </c>
      <c r="W117" s="374">
        <f t="shared" si="53"/>
        <v>7.7248996766871955E-2</v>
      </c>
      <c r="X117" s="374">
        <f t="shared" si="53"/>
        <v>8.6193545867832372E-2</v>
      </c>
      <c r="Y117" s="374">
        <f t="shared" si="53"/>
        <v>8.8556039869447017E-2</v>
      </c>
      <c r="Z117" s="374">
        <f t="shared" si="53"/>
        <v>9.1412657192701724E-2</v>
      </c>
      <c r="AA117" s="374">
        <f t="shared" si="53"/>
        <v>9.4149309571481307E-2</v>
      </c>
      <c r="AB117" s="374">
        <f t="shared" si="53"/>
        <v>9.6479742218728473E-2</v>
      </c>
      <c r="AC117" s="374">
        <f t="shared" si="53"/>
        <v>9.8876237829357019E-2</v>
      </c>
      <c r="AD117" s="374">
        <f t="shared" si="53"/>
        <v>0.10126773582687736</v>
      </c>
      <c r="AE117" s="374">
        <f t="shared" si="53"/>
        <v>0.10364933694750279</v>
      </c>
      <c r="AF117" s="374">
        <f t="shared" si="53"/>
        <v>0.10588434610467859</v>
      </c>
      <c r="AG117" s="374">
        <f t="shared" si="53"/>
        <v>0.10803234279380554</v>
      </c>
      <c r="AH117" s="374">
        <f t="shared" si="53"/>
        <v>0.11025454333006876</v>
      </c>
      <c r="AI117" s="374">
        <f t="shared" si="53"/>
        <v>0.11254090242505464</v>
      </c>
      <c r="AJ117" s="374">
        <f t="shared" si="53"/>
        <v>0.11471193592645351</v>
      </c>
      <c r="AK117" s="374">
        <f t="shared" si="53"/>
        <v>0.11684879190623096</v>
      </c>
      <c r="AL117" s="374">
        <f t="shared" si="53"/>
        <v>0.11894023076629426</v>
      </c>
      <c r="AM117" s="374">
        <f t="shared" si="53"/>
        <v>0.12098705158948586</v>
      </c>
      <c r="AN117" s="374">
        <f t="shared" si="53"/>
        <v>0.12288588041092413</v>
      </c>
      <c r="AO117" s="374">
        <f t="shared" si="53"/>
        <v>0.1246263694062357</v>
      </c>
      <c r="AP117" s="374">
        <f t="shared" si="53"/>
        <v>0.12630005078689888</v>
      </c>
      <c r="AQ117" s="374">
        <f t="shared" si="53"/>
        <v>0.12780090320914411</v>
      </c>
      <c r="AR117" s="374">
        <f t="shared" si="53"/>
        <v>0.12921785601094168</v>
      </c>
      <c r="AS117" s="374">
        <f t="shared" si="53"/>
        <v>0.13065802693445039</v>
      </c>
      <c r="AT117" s="374">
        <f t="shared" si="53"/>
        <v>0.13212958689372045</v>
      </c>
      <c r="AU117" s="374">
        <f t="shared" si="53"/>
        <v>0.13362478350608237</v>
      </c>
      <c r="AV117" s="374">
        <f t="shared" si="53"/>
        <v>0.13514386816049506</v>
      </c>
      <c r="AW117" s="374">
        <f t="shared" si="53"/>
        <v>0.1366886606227827</v>
      </c>
      <c r="AX117" s="374">
        <f t="shared" si="53"/>
        <v>0.13814335421559557</v>
      </c>
      <c r="AY117" s="374">
        <f t="shared" si="53"/>
        <v>0.13962371855688749</v>
      </c>
      <c r="AZ117" s="374">
        <f t="shared" si="53"/>
        <v>0.14113124516391826</v>
      </c>
      <c r="BA117" s="374">
        <f t="shared" si="53"/>
        <v>0.14267692593591771</v>
      </c>
      <c r="BB117" s="374">
        <f t="shared" si="53"/>
        <v>0.14436773867967187</v>
      </c>
      <c r="BC117" s="374">
        <f t="shared" si="53"/>
        <v>0.1460933780395956</v>
      </c>
      <c r="BD117" s="374">
        <f t="shared" si="53"/>
        <v>0.14785624855198284</v>
      </c>
      <c r="BE117" s="374">
        <f t="shared" si="53"/>
        <v>0.14965700863802772</v>
      </c>
      <c r="BF117" s="374">
        <f t="shared" si="53"/>
        <v>0.15161723513523612</v>
      </c>
      <c r="BG117" s="374">
        <f t="shared" si="53"/>
        <v>0.15363098884588378</v>
      </c>
      <c r="BH117" s="374">
        <f t="shared" si="53"/>
        <v>0.15568956378135579</v>
      </c>
      <c r="BI117" s="374">
        <f t="shared" si="53"/>
        <v>0.15791035634896516</v>
      </c>
    </row>
    <row r="118" spans="1:61">
      <c r="A118" s="854" t="s">
        <v>162</v>
      </c>
      <c r="B118" s="403" t="s">
        <v>208</v>
      </c>
      <c r="C118" s="409"/>
      <c r="D118" s="409"/>
      <c r="E118" s="409"/>
      <c r="F118" s="409"/>
      <c r="G118" s="409"/>
      <c r="H118" s="409"/>
      <c r="I118" s="409"/>
      <c r="J118" s="409"/>
      <c r="K118" s="409"/>
      <c r="L118" s="409"/>
      <c r="M118" s="409"/>
      <c r="N118" s="409"/>
      <c r="O118" s="409"/>
      <c r="P118" s="410"/>
      <c r="Q118" s="417">
        <f>AVERAGE(U27:U28)*$B$98*$Q$101*$Q$105/100</f>
        <v>0.52833949369774647</v>
      </c>
      <c r="R118" s="414">
        <f>Q118*Indeksacja!R$61</f>
        <v>0.56089331668901687</v>
      </c>
      <c r="S118" s="407">
        <f>R118*Indeksacja!S$61</f>
        <v>0.59678111678318413</v>
      </c>
      <c r="T118" s="407">
        <f>S118*Indeksacja!T$61</f>
        <v>0.63250165681891757</v>
      </c>
      <c r="U118" s="407">
        <f>T118*Indeksacja!U$61</f>
        <v>0.64346183491709275</v>
      </c>
      <c r="V118" s="407">
        <f>U118*Indeksacja!V$61</f>
        <v>0.71378710139665058</v>
      </c>
      <c r="W118" s="407">
        <f>V118*Indeksacja!W$61</f>
        <v>0.85329185704439914</v>
      </c>
      <c r="X118" s="407">
        <f>W118*Indeksacja!X$61</f>
        <v>0.95209328142815808</v>
      </c>
      <c r="Y118" s="407">
        <f>X118*Indeksacja!Y$61</f>
        <v>0.97818937300560282</v>
      </c>
      <c r="Z118" s="407">
        <f>Y118*Indeksacja!Z$61</f>
        <v>1.0097435472038951</v>
      </c>
      <c r="AA118" s="407">
        <f>Z118*Indeksacja!AA$61</f>
        <v>1.039972589497105</v>
      </c>
      <c r="AB118" s="407">
        <f>AA118*Indeksacja!AB$61</f>
        <v>1.0657145315871441</v>
      </c>
      <c r="AC118" s="407">
        <f>AB118*Indeksacja!AC$61</f>
        <v>1.0921862046907223</v>
      </c>
      <c r="AD118" s="407">
        <f>AC118*Indeksacja!AD$61</f>
        <v>1.1186026741962163</v>
      </c>
      <c r="AE118" s="407">
        <f>AD118*Indeksacja!AE$61</f>
        <v>1.1449098228714338</v>
      </c>
      <c r="AF118" s="407">
        <f>AE118*Indeksacja!AF$61</f>
        <v>1.1695977177834316</v>
      </c>
      <c r="AG118" s="407">
        <f>AF118*Indeksacja!AG$61</f>
        <v>1.1933244736055393</v>
      </c>
      <c r="AH118" s="407">
        <f>AG118*Indeksacja!AH$61</f>
        <v>1.2178708845839956</v>
      </c>
      <c r="AI118" s="407">
        <f>AH118*Indeksacja!AI$61</f>
        <v>1.2431259905359673</v>
      </c>
      <c r="AJ118" s="407">
        <f>AI118*Indeksacja!AJ$61</f>
        <v>1.2671072108190595</v>
      </c>
      <c r="AK118" s="407">
        <f>AJ118*Indeksacja!AK$61</f>
        <v>1.290710906446634</v>
      </c>
      <c r="AL118" s="407">
        <f>AK118*Indeksacja!AL$61</f>
        <v>1.313812924899818</v>
      </c>
      <c r="AM118" s="407">
        <f>AL118*Indeksacja!AM$61</f>
        <v>1.3364220928418837</v>
      </c>
      <c r="AN118" s="407">
        <f>AM118*Indeksacja!AN$61</f>
        <v>1.3573965422077987</v>
      </c>
      <c r="AO118" s="407">
        <f>AN118*Indeksacja!AO$61</f>
        <v>1.3766219710047156</v>
      </c>
      <c r="AP118" s="407">
        <f>AO118*Indeksacja!AP$61</f>
        <v>1.3951094433756082</v>
      </c>
      <c r="AQ118" s="407">
        <f>AP118*Indeksacja!AQ$61</f>
        <v>1.4116878483274822</v>
      </c>
      <c r="AR118" s="407">
        <f>AQ118*Indeksacja!AR$61</f>
        <v>1.4273394986814532</v>
      </c>
      <c r="AS118" s="407">
        <f>AR118*Indeksacja!AS$61</f>
        <v>1.4432476162391572</v>
      </c>
      <c r="AT118" s="407">
        <f>AS118*Indeksacja!AT$61</f>
        <v>1.4595024568578281</v>
      </c>
      <c r="AU118" s="407">
        <f>AT118*Indeksacja!AU$61</f>
        <v>1.4760183877748227</v>
      </c>
      <c r="AV118" s="407">
        <f>AU118*Indeksacja!AV$61</f>
        <v>1.4927981858307546</v>
      </c>
      <c r="AW118" s="407">
        <f>AV118*Indeksacja!AW$61</f>
        <v>1.5098619521456969</v>
      </c>
      <c r="AX118" s="407">
        <f>AW118*Indeksacja!AX$61</f>
        <v>1.5259304870030219</v>
      </c>
      <c r="AY118" s="407">
        <f>AX118*Indeksacja!AY$61</f>
        <v>1.542282580761539</v>
      </c>
      <c r="AZ118" s="407">
        <f>AY118*Indeksacja!AZ$61</f>
        <v>1.558934708710064</v>
      </c>
      <c r="BA118" s="407">
        <f>AZ118*Indeksacja!BA$61</f>
        <v>1.5760082872876287</v>
      </c>
      <c r="BB118" s="407">
        <f>BA118*Indeksacja!BB$61</f>
        <v>1.5946849925707587</v>
      </c>
      <c r="BC118" s="407">
        <f>BB118*Indeksacja!BC$61</f>
        <v>1.6137463924030697</v>
      </c>
      <c r="BD118" s="407">
        <f>BC118*Indeksacja!BD$61</f>
        <v>1.6332190472749941</v>
      </c>
      <c r="BE118" s="407">
        <f>BD118*Indeksacja!BE$61</f>
        <v>1.6531102301022593</v>
      </c>
      <c r="BF118" s="407">
        <f>BE118*Indeksacja!BF$61</f>
        <v>1.6747628777486545</v>
      </c>
      <c r="BG118" s="407">
        <f>BF118*Indeksacja!BG$61</f>
        <v>1.6970067866058043</v>
      </c>
      <c r="BH118" s="407">
        <f>BG118*Indeksacja!BH$61</f>
        <v>1.7197457903867215</v>
      </c>
      <c r="BI118" s="407">
        <f>BH118*Indeksacja!BI$61</f>
        <v>1.7442766489536574</v>
      </c>
    </row>
    <row r="119" spans="1:61">
      <c r="A119" s="854"/>
      <c r="B119" s="404" t="s">
        <v>209</v>
      </c>
      <c r="C119" s="411"/>
      <c r="D119" s="411"/>
      <c r="E119" s="411"/>
      <c r="F119" s="411"/>
      <c r="G119" s="411"/>
      <c r="H119" s="411"/>
      <c r="I119" s="411"/>
      <c r="J119" s="411"/>
      <c r="K119" s="411"/>
      <c r="L119" s="411"/>
      <c r="M119" s="411"/>
      <c r="N119" s="411"/>
      <c r="O119" s="411"/>
      <c r="P119" s="412"/>
      <c r="Q119" s="418">
        <f>AVERAGE(U29:U30)*$B$98*$Q$101*$Q$105/100</f>
        <v>0.96227846105244452</v>
      </c>
      <c r="R119" s="415">
        <f>Q119*Indeksacja!R$61</f>
        <v>1.0215695855341103</v>
      </c>
      <c r="S119" s="408">
        <f>R119*Indeksacja!S$61</f>
        <v>1.0869329692241612</v>
      </c>
      <c r="T119" s="408">
        <f>S119*Indeksacja!T$61</f>
        <v>1.1519917178196468</v>
      </c>
      <c r="U119" s="408">
        <f>T119*Indeksacja!U$61</f>
        <v>1.1719537752448037</v>
      </c>
      <c r="V119" s="408">
        <f>U119*Indeksacja!V$61</f>
        <v>1.3000390121204823</v>
      </c>
      <c r="W119" s="408">
        <f>V119*Indeksacja!W$61</f>
        <v>1.5541226518549947</v>
      </c>
      <c r="X119" s="408">
        <f>W119*Indeksacja!X$61</f>
        <v>1.7340722557363646</v>
      </c>
      <c r="Y119" s="408">
        <f>X119*Indeksacja!Y$61</f>
        <v>1.7816017460397966</v>
      </c>
      <c r="Z119" s="408">
        <f>Y119*Indeksacja!Z$61</f>
        <v>1.8390721841757049</v>
      </c>
      <c r="AA119" s="408">
        <f>Z119*Indeksacja!AA$61</f>
        <v>1.894129125108537</v>
      </c>
      <c r="AB119" s="408">
        <f>AA119*Indeksacja!AB$61</f>
        <v>1.9410135937397519</v>
      </c>
      <c r="AC119" s="408">
        <f>AB119*Indeksacja!AC$61</f>
        <v>1.9892271404449453</v>
      </c>
      <c r="AD119" s="408">
        <f>AC119*Indeksacja!AD$61</f>
        <v>2.0373401434011997</v>
      </c>
      <c r="AE119" s="408">
        <f>AD119*Indeksacja!AE$61</f>
        <v>2.0852540374860293</v>
      </c>
      <c r="AF119" s="408">
        <f>AE119*Indeksacja!AF$61</f>
        <v>2.1302187425779646</v>
      </c>
      <c r="AG119" s="408">
        <f>AF119*Indeksacja!AG$61</f>
        <v>2.1734329000479464</v>
      </c>
      <c r="AH119" s="408">
        <f>AG119*Indeksacja!AH$61</f>
        <v>2.2181399167719746</v>
      </c>
      <c r="AI119" s="408">
        <f>AH119*Indeksacja!AI$61</f>
        <v>2.264137698083176</v>
      </c>
      <c r="AJ119" s="408">
        <f>AI119*Indeksacja!AJ$61</f>
        <v>2.3078153182941219</v>
      </c>
      <c r="AK119" s="408">
        <f>AJ119*Indeksacja!AK$61</f>
        <v>2.3508053430312215</v>
      </c>
      <c r="AL119" s="408">
        <f>AK119*Indeksacja!AL$61</f>
        <v>2.3928816500828627</v>
      </c>
      <c r="AM119" s="408">
        <f>AL119*Indeksacja!AM$61</f>
        <v>2.4340603156804295</v>
      </c>
      <c r="AN119" s="408">
        <f>AM119*Indeksacja!AN$61</f>
        <v>2.4722616258190988</v>
      </c>
      <c r="AO119" s="408">
        <f>AN119*Indeksacja!AO$61</f>
        <v>2.5072773993065041</v>
      </c>
      <c r="AP119" s="408">
        <f>AO119*Indeksacja!AP$61</f>
        <v>2.5409491135622426</v>
      </c>
      <c r="AQ119" s="408">
        <f>AP119*Indeksacja!AQ$61</f>
        <v>2.5711437936762378</v>
      </c>
      <c r="AR119" s="408">
        <f>AQ119*Indeksacja!AR$61</f>
        <v>2.5996505515378154</v>
      </c>
      <c r="AS119" s="408">
        <f>AR119*Indeksacja!AS$61</f>
        <v>2.6286244197878128</v>
      </c>
      <c r="AT119" s="408">
        <f>AS119*Indeksacja!AT$61</f>
        <v>2.658229783766406</v>
      </c>
      <c r="AU119" s="408">
        <f>AT119*Indeksacja!AU$61</f>
        <v>2.6883106782958355</v>
      </c>
      <c r="AV119" s="408">
        <f>AU119*Indeksacja!AV$61</f>
        <v>2.7188721609081314</v>
      </c>
      <c r="AW119" s="408">
        <f>AV119*Indeksacja!AW$61</f>
        <v>2.7499508422960779</v>
      </c>
      <c r="AX119" s="408">
        <f>AW119*Indeksacja!AX$61</f>
        <v>2.7792168827460464</v>
      </c>
      <c r="AY119" s="408">
        <f>AX119*Indeksacja!AY$61</f>
        <v>2.8089993763976246</v>
      </c>
      <c r="AZ119" s="408">
        <f>AY119*Indeksacja!AZ$61</f>
        <v>2.8393283301228256</v>
      </c>
      <c r="BA119" s="408">
        <f>AZ119*Indeksacja!BA$61</f>
        <v>2.8704248828398859</v>
      </c>
      <c r="BB119" s="408">
        <f>BA119*Indeksacja!BB$61</f>
        <v>2.9044412519202978</v>
      </c>
      <c r="BC119" s="408">
        <f>BB119*Indeksacja!BC$61</f>
        <v>2.9391582751883614</v>
      </c>
      <c r="BD119" s="408">
        <f>BC119*Indeksacja!BD$61</f>
        <v>2.9746243279560929</v>
      </c>
      <c r="BE119" s="408">
        <f>BD119*Indeksacja!BE$61</f>
        <v>3.0108526565740625</v>
      </c>
      <c r="BF119" s="408">
        <f>BE119*Indeksacja!BF$61</f>
        <v>3.0502891868797146</v>
      </c>
      <c r="BG119" s="408">
        <f>BF119*Indeksacja!BG$61</f>
        <v>3.0908025966061778</v>
      </c>
      <c r="BH119" s="408">
        <f>BG119*Indeksacja!BH$61</f>
        <v>3.1322177355938465</v>
      </c>
      <c r="BI119" s="408">
        <f>BH119*Indeksacja!BI$61</f>
        <v>3.176896426306282</v>
      </c>
    </row>
    <row r="120" spans="1:61">
      <c r="A120" s="854"/>
      <c r="B120" s="402" t="s">
        <v>227</v>
      </c>
      <c r="C120" s="377"/>
      <c r="D120" s="377"/>
      <c r="E120" s="377"/>
      <c r="F120" s="377"/>
      <c r="G120" s="377"/>
      <c r="H120" s="377"/>
      <c r="I120" s="377"/>
      <c r="J120" s="377"/>
      <c r="K120" s="377"/>
      <c r="L120" s="377"/>
      <c r="M120" s="377"/>
      <c r="N120" s="377"/>
      <c r="O120" s="377"/>
      <c r="P120" s="413"/>
      <c r="Q120" s="374">
        <f>Q118*$B$90+Q119*$B$91</f>
        <v>0.5934303388009512</v>
      </c>
      <c r="R120" s="374">
        <f>R118*$B$90+R119*$B$91</f>
        <v>0.62999475701578089</v>
      </c>
      <c r="S120" s="374">
        <f t="shared" ref="S120:BI120" si="54">S118*$B$90+S119*$B$91</f>
        <v>0.67030389464933071</v>
      </c>
      <c r="T120" s="374">
        <f t="shared" si="54"/>
        <v>0.71042516596902694</v>
      </c>
      <c r="U120" s="374">
        <f t="shared" si="54"/>
        <v>0.72273562596624941</v>
      </c>
      <c r="V120" s="374">
        <f t="shared" si="54"/>
        <v>0.80172488800522534</v>
      </c>
      <c r="W120" s="374">
        <f t="shared" si="54"/>
        <v>0.95841647626598836</v>
      </c>
      <c r="X120" s="374">
        <f t="shared" si="54"/>
        <v>1.0693901275743891</v>
      </c>
      <c r="Y120" s="374">
        <f t="shared" si="54"/>
        <v>1.0987012289607319</v>
      </c>
      <c r="Z120" s="374">
        <f t="shared" si="54"/>
        <v>1.1341428427496667</v>
      </c>
      <c r="AA120" s="374">
        <f t="shared" si="54"/>
        <v>1.1680960698388199</v>
      </c>
      <c r="AB120" s="374">
        <f t="shared" si="54"/>
        <v>1.1970093909100352</v>
      </c>
      <c r="AC120" s="374">
        <f t="shared" si="54"/>
        <v>1.2267423450538557</v>
      </c>
      <c r="AD120" s="374">
        <f t="shared" si="54"/>
        <v>1.2564132945769639</v>
      </c>
      <c r="AE120" s="374">
        <f t="shared" si="54"/>
        <v>1.2859614550636231</v>
      </c>
      <c r="AF120" s="374">
        <f t="shared" si="54"/>
        <v>1.3136908715026117</v>
      </c>
      <c r="AG120" s="374">
        <f t="shared" si="54"/>
        <v>1.3403407375719003</v>
      </c>
      <c r="AH120" s="374">
        <f t="shared" si="54"/>
        <v>1.3679112394121926</v>
      </c>
      <c r="AI120" s="374">
        <f t="shared" si="54"/>
        <v>1.3962777466680487</v>
      </c>
      <c r="AJ120" s="374">
        <f t="shared" si="54"/>
        <v>1.4232134269403189</v>
      </c>
      <c r="AK120" s="374">
        <f t="shared" si="54"/>
        <v>1.449725071934322</v>
      </c>
      <c r="AL120" s="374">
        <f t="shared" si="54"/>
        <v>1.4756732336772749</v>
      </c>
      <c r="AM120" s="374">
        <f t="shared" si="54"/>
        <v>1.5010678262676656</v>
      </c>
      <c r="AN120" s="374">
        <f t="shared" si="54"/>
        <v>1.5246263047494939</v>
      </c>
      <c r="AO120" s="374">
        <f t="shared" si="54"/>
        <v>1.546220285249984</v>
      </c>
      <c r="AP120" s="374">
        <f t="shared" si="54"/>
        <v>1.5669853939036034</v>
      </c>
      <c r="AQ120" s="374">
        <f t="shared" si="54"/>
        <v>1.5856062401297955</v>
      </c>
      <c r="AR120" s="374">
        <f t="shared" si="54"/>
        <v>1.6031861566099075</v>
      </c>
      <c r="AS120" s="374">
        <f t="shared" si="54"/>
        <v>1.6210541367714555</v>
      </c>
      <c r="AT120" s="374">
        <f t="shared" si="54"/>
        <v>1.6393115558941147</v>
      </c>
      <c r="AU120" s="374">
        <f t="shared" si="54"/>
        <v>1.6578622313529747</v>
      </c>
      <c r="AV120" s="374">
        <f t="shared" si="54"/>
        <v>1.6767092820923613</v>
      </c>
      <c r="AW120" s="374">
        <f t="shared" si="54"/>
        <v>1.695875285668254</v>
      </c>
      <c r="AX120" s="374">
        <f t="shared" si="54"/>
        <v>1.7139234463644755</v>
      </c>
      <c r="AY120" s="374">
        <f t="shared" si="54"/>
        <v>1.7322901001069519</v>
      </c>
      <c r="AZ120" s="374">
        <f t="shared" si="54"/>
        <v>1.7509937519219783</v>
      </c>
      <c r="BA120" s="374">
        <f t="shared" si="54"/>
        <v>1.7701707766204673</v>
      </c>
      <c r="BB120" s="374">
        <f t="shared" si="54"/>
        <v>1.7911484314731896</v>
      </c>
      <c r="BC120" s="374">
        <f t="shared" si="54"/>
        <v>1.8125581748208637</v>
      </c>
      <c r="BD120" s="374">
        <f t="shared" si="54"/>
        <v>1.834429839377159</v>
      </c>
      <c r="BE120" s="374">
        <f t="shared" si="54"/>
        <v>1.8567715940730298</v>
      </c>
      <c r="BF120" s="374">
        <f t="shared" si="54"/>
        <v>1.8810918241183137</v>
      </c>
      <c r="BG120" s="374">
        <f t="shared" si="54"/>
        <v>1.9060761581058603</v>
      </c>
      <c r="BH120" s="374">
        <f t="shared" si="54"/>
        <v>1.9316165821677902</v>
      </c>
      <c r="BI120" s="374">
        <f t="shared" si="54"/>
        <v>1.959169615556551</v>
      </c>
    </row>
    <row r="121" spans="1:61">
      <c r="A121" s="854" t="s">
        <v>739</v>
      </c>
      <c r="B121" s="403" t="s">
        <v>208</v>
      </c>
      <c r="C121" s="409"/>
      <c r="D121" s="409"/>
      <c r="E121" s="409"/>
      <c r="F121" s="409"/>
      <c r="G121" s="409"/>
      <c r="H121" s="409"/>
      <c r="I121" s="409"/>
      <c r="J121" s="409"/>
      <c r="K121" s="409"/>
      <c r="L121" s="409"/>
      <c r="M121" s="409"/>
      <c r="N121" s="409"/>
      <c r="O121" s="409"/>
      <c r="P121" s="410"/>
      <c r="Q121" s="417">
        <f>AVERAGE(U31:U32)*$B$98*$Q$101*$Q$105/100</f>
        <v>0.3336584305547089</v>
      </c>
      <c r="R121" s="414">
        <f>Q121*Indeksacja!R$61</f>
        <v>0.35421691164004859</v>
      </c>
      <c r="S121" s="407">
        <f>R121*Indeksacja!S$61</f>
        <v>0.37688087524359332</v>
      </c>
      <c r="T121" s="407">
        <f>S121*Indeksacja!T$61</f>
        <v>0.39943921030856161</v>
      </c>
      <c r="U121" s="407">
        <f>T121*Indeksacja!U$61</f>
        <v>0.40636081254814227</v>
      </c>
      <c r="V121" s="407">
        <f>U121*Indeksacja!V$61</f>
        <v>0.45077282096660554</v>
      </c>
      <c r="W121" s="407">
        <f>V121*Indeksacja!W$61</f>
        <v>0.53887325332038039</v>
      </c>
      <c r="X121" s="407">
        <f>W121*Indeksacja!X$61</f>
        <v>0.60126860439613017</v>
      </c>
      <c r="Y121" s="407">
        <f>X121*Indeksacja!Y$61</f>
        <v>0.61774888092893732</v>
      </c>
      <c r="Z121" s="407">
        <f>Y121*Indeksacja!Z$61</f>
        <v>0.63767606102059848</v>
      </c>
      <c r="AA121" s="407">
        <f>Z121*Indeksacja!AA$61</f>
        <v>0.65676639011587989</v>
      </c>
      <c r="AB121" s="407">
        <f>AA121*Indeksacja!AB$61</f>
        <v>0.67302301317670721</v>
      </c>
      <c r="AC121" s="407">
        <f>AB121*Indeksacja!AC$61</f>
        <v>0.6897404780023636</v>
      </c>
      <c r="AD121" s="407">
        <f>AC121*Indeksacja!AD$61</f>
        <v>0.70642308049779967</v>
      </c>
      <c r="AE121" s="407">
        <f>AD121*Indeksacja!AE$61</f>
        <v>0.72303664439761295</v>
      </c>
      <c r="AF121" s="407">
        <f>AE121*Indeksacja!AF$61</f>
        <v>0.73862761264491406</v>
      </c>
      <c r="AG121" s="407">
        <f>AF121*Indeksacja!AG$61</f>
        <v>0.75361159965363123</v>
      </c>
      <c r="AH121" s="407">
        <f>AG121*Indeksacja!AH$61</f>
        <v>0.76911321757263551</v>
      </c>
      <c r="AI121" s="407">
        <f>AH121*Indeksacja!AI$61</f>
        <v>0.78506239251780519</v>
      </c>
      <c r="AJ121" s="407">
        <f>AI121*Indeksacja!AJ$61</f>
        <v>0.8002070796326034</v>
      </c>
      <c r="AK121" s="407">
        <f>AJ121*Indeksacja!AK$61</f>
        <v>0.81511335132406448</v>
      </c>
      <c r="AL121" s="407">
        <f>AK121*Indeksacja!AL$61</f>
        <v>0.82970280244721872</v>
      </c>
      <c r="AM121" s="407">
        <f>AL121*Indeksacja!AM$61</f>
        <v>0.84398100724107261</v>
      </c>
      <c r="AN121" s="407">
        <f>AM121*Indeksacja!AN$61</f>
        <v>0.85722685000062226</v>
      </c>
      <c r="AO121" s="407">
        <f>AN121*Indeksacja!AO$61</f>
        <v>0.86936814641256599</v>
      </c>
      <c r="AP121" s="407">
        <f>AO121*Indeksacja!AP$61</f>
        <v>0.88104340652424806</v>
      </c>
      <c r="AQ121" s="407">
        <f>AP121*Indeksacja!AQ$61</f>
        <v>0.89151304705524204</v>
      </c>
      <c r="AR121" s="407">
        <f>AQ121*Indeksacja!AR$61</f>
        <v>0.90139742093792696</v>
      </c>
      <c r="AS121" s="407">
        <f>AR121*Indeksacja!AS$61</f>
        <v>0.91144375970437908</v>
      </c>
      <c r="AT121" s="407">
        <f>AS121*Indeksacja!AT$61</f>
        <v>0.92170906198527458</v>
      </c>
      <c r="AU121" s="407">
        <f>AT121*Indeksacja!AU$61</f>
        <v>0.93213924873952658</v>
      </c>
      <c r="AV121" s="407">
        <f>AU121*Indeksacja!AV$61</f>
        <v>0.94273607360526357</v>
      </c>
      <c r="AW121" s="407">
        <f>AV121*Indeksacja!AW$61</f>
        <v>0.95351223089789461</v>
      </c>
      <c r="AX121" s="407">
        <f>AW121*Indeksacja!AX$61</f>
        <v>0.96365987684479371</v>
      </c>
      <c r="AY121" s="407">
        <f>AX121*Indeksacja!AY$61</f>
        <v>0.97398659669979581</v>
      </c>
      <c r="AZ121" s="407">
        <f>AY121*Indeksacja!AZ$61</f>
        <v>0.984502794983242</v>
      </c>
      <c r="BA121" s="407">
        <f>AZ121*Indeksacja!BA$61</f>
        <v>0.99528514894332987</v>
      </c>
      <c r="BB121" s="407">
        <f>BA121*Indeksacja!BB$61</f>
        <v>1.0070799139515028</v>
      </c>
      <c r="BC121" s="407">
        <f>BB121*Indeksacja!BC$61</f>
        <v>1.0191176223342555</v>
      </c>
      <c r="BD121" s="407">
        <f>BC121*Indeksacja!BD$61</f>
        <v>1.0314150476465809</v>
      </c>
      <c r="BE121" s="407">
        <f>BD121*Indeksacja!BE$61</f>
        <v>1.0439767829005024</v>
      </c>
      <c r="BF121" s="407">
        <f>BE121*Indeksacja!BF$61</f>
        <v>1.0576509233295792</v>
      </c>
      <c r="BG121" s="407">
        <f>BF121*Indeksacja!BG$61</f>
        <v>1.0716984586874498</v>
      </c>
      <c r="BH121" s="407">
        <f>BG121*Indeksacja!BH$61</f>
        <v>1.0860586577723566</v>
      </c>
      <c r="BI121" s="407">
        <f>BH121*Indeksacja!BI$61</f>
        <v>1.101550453989063</v>
      </c>
    </row>
    <row r="122" spans="1:61">
      <c r="A122" s="854"/>
      <c r="B122" s="404" t="s">
        <v>209</v>
      </c>
      <c r="C122" s="411"/>
      <c r="D122" s="411"/>
      <c r="E122" s="411"/>
      <c r="F122" s="411"/>
      <c r="G122" s="411"/>
      <c r="H122" s="411"/>
      <c r="I122" s="411"/>
      <c r="J122" s="411"/>
      <c r="K122" s="411"/>
      <c r="L122" s="411"/>
      <c r="M122" s="411"/>
      <c r="N122" s="411"/>
      <c r="O122" s="411"/>
      <c r="P122" s="412"/>
      <c r="Q122" s="418">
        <f>AVERAGE(U33:U34)*$B$98*$Q$101*$Q$105/100</f>
        <v>0.60770397104324092</v>
      </c>
      <c r="R122" s="415">
        <f>Q122*Indeksacja!R$61</f>
        <v>0.64514786410899638</v>
      </c>
      <c r="S122" s="408">
        <f>R122*Indeksacja!S$61</f>
        <v>0.68642654739763964</v>
      </c>
      <c r="T122" s="408">
        <f>S122*Indeksacja!T$61</f>
        <v>0.72751284567073971</v>
      </c>
      <c r="U122" s="408">
        <f>T122*Indeksacja!U$61</f>
        <v>0.74011940609836624</v>
      </c>
      <c r="V122" s="408">
        <f>U122*Indeksacja!V$61</f>
        <v>0.82100857719779274</v>
      </c>
      <c r="W122" s="408">
        <f>V122*Indeksacja!W$61</f>
        <v>0.98146902923254742</v>
      </c>
      <c r="X122" s="408">
        <f>W122*Indeksacja!X$61</f>
        <v>1.0951119021560085</v>
      </c>
      <c r="Y122" s="408">
        <f>X122*Indeksacja!Y$61</f>
        <v>1.1251280161688553</v>
      </c>
      <c r="Z122" s="408">
        <f>Y122*Indeksacja!Z$61</f>
        <v>1.1614220982733108</v>
      </c>
      <c r="AA122" s="408">
        <f>Z122*Indeksacja!AA$61</f>
        <v>1.1961919938831345</v>
      </c>
      <c r="AB122" s="408">
        <f>AA122*Indeksacja!AB$61</f>
        <v>1.2258007598699361</v>
      </c>
      <c r="AC122" s="408">
        <f>AB122*Indeksacja!AC$61</f>
        <v>1.2562488733596424</v>
      </c>
      <c r="AD122" s="408">
        <f>AC122*Indeksacja!AD$61</f>
        <v>1.2866334908469266</v>
      </c>
      <c r="AE122" s="408">
        <f>AD122*Indeksacja!AE$61</f>
        <v>1.3168923658836289</v>
      </c>
      <c r="AF122" s="408">
        <f>AE122*Indeksacja!AF$61</f>
        <v>1.3452887510747427</v>
      </c>
      <c r="AG122" s="408">
        <f>AF122*Indeksacja!AG$61</f>
        <v>1.3725796197398001</v>
      </c>
      <c r="AH122" s="408">
        <f>AG122*Indeksacja!AH$61</f>
        <v>1.4008132679989269</v>
      </c>
      <c r="AI122" s="408">
        <f>AH122*Indeksacja!AI$61</f>
        <v>1.4298620677937632</v>
      </c>
      <c r="AJ122" s="408">
        <f>AI122*Indeksacja!AJ$61</f>
        <v>1.457445625279691</v>
      </c>
      <c r="AK122" s="408">
        <f>AJ122*Indeksacja!AK$61</f>
        <v>1.4845949482723406</v>
      </c>
      <c r="AL122" s="408">
        <f>AK122*Indeksacja!AL$61</f>
        <v>1.5111672346915455</v>
      </c>
      <c r="AM122" s="408">
        <f>AL122*Indeksacja!AM$61</f>
        <v>1.5371726370971379</v>
      </c>
      <c r="AN122" s="408">
        <f>AM122*Indeksacja!AN$61</f>
        <v>1.5612977617984987</v>
      </c>
      <c r="AO122" s="408">
        <f>AN122*Indeksacja!AO$61</f>
        <v>1.5834111369375137</v>
      </c>
      <c r="AP122" s="408">
        <f>AO122*Indeksacja!AP$61</f>
        <v>1.6046757035814203</v>
      </c>
      <c r="AQ122" s="408">
        <f>AP122*Indeksacja!AQ$61</f>
        <v>1.6237444323874111</v>
      </c>
      <c r="AR122" s="408">
        <f>AQ122*Indeksacja!AR$61</f>
        <v>1.6417471942232125</v>
      </c>
      <c r="AS122" s="408">
        <f>AR122*Indeksacja!AS$61</f>
        <v>1.6600449484644844</v>
      </c>
      <c r="AT122" s="408">
        <f>AS122*Indeksacja!AT$61</f>
        <v>1.6787415087452731</v>
      </c>
      <c r="AU122" s="408">
        <f>AT122*Indeksacja!AU$61</f>
        <v>1.6977383789839295</v>
      </c>
      <c r="AV122" s="408">
        <f>AU122*Indeksacja!AV$61</f>
        <v>1.7170387531439713</v>
      </c>
      <c r="AW122" s="408">
        <f>AV122*Indeksacja!AW$61</f>
        <v>1.7366657518337127</v>
      </c>
      <c r="AX122" s="408">
        <f>AW122*Indeksacja!AX$61</f>
        <v>1.7551480204472143</v>
      </c>
      <c r="AY122" s="408">
        <f>AX122*Indeksacja!AY$61</f>
        <v>1.7739564427409436</v>
      </c>
      <c r="AZ122" s="408">
        <f>AY122*Indeksacja!AZ$61</f>
        <v>1.7931099688379875</v>
      </c>
      <c r="BA122" s="408">
        <f>AZ122*Indeksacja!BA$61</f>
        <v>1.8127482537386437</v>
      </c>
      <c r="BB122" s="408">
        <f>BA122*Indeksacja!BB$61</f>
        <v>1.8342304789024801</v>
      </c>
      <c r="BC122" s="408">
        <f>BB122*Indeksacja!BC$61</f>
        <v>1.8561551854782963</v>
      </c>
      <c r="BD122" s="408">
        <f>BC122*Indeksacja!BD$61</f>
        <v>1.8785529237385989</v>
      </c>
      <c r="BE122" s="408">
        <f>BD122*Indeksacja!BE$61</f>
        <v>1.901432059099605</v>
      </c>
      <c r="BF122" s="408">
        <f>BE122*Indeksacja!BF$61</f>
        <v>1.9263372575851874</v>
      </c>
      <c r="BG122" s="408">
        <f>BF122*Indeksacja!BG$61</f>
        <v>1.9519225335398696</v>
      </c>
      <c r="BH122" s="408">
        <f>BG122*Indeksacja!BH$61</f>
        <v>1.9780772750650906</v>
      </c>
      <c r="BI122" s="408">
        <f>BH122*Indeksacja!BI$61</f>
        <v>2.0062930347083689</v>
      </c>
    </row>
    <row r="123" spans="1:61">
      <c r="A123" s="854"/>
      <c r="B123" s="402" t="s">
        <v>227</v>
      </c>
      <c r="C123" s="377"/>
      <c r="D123" s="377"/>
      <c r="E123" s="377"/>
      <c r="F123" s="377"/>
      <c r="G123" s="377"/>
      <c r="H123" s="377"/>
      <c r="I123" s="377"/>
      <c r="J123" s="377"/>
      <c r="K123" s="377"/>
      <c r="L123" s="377"/>
      <c r="M123" s="377"/>
      <c r="N123" s="377"/>
      <c r="O123" s="377"/>
      <c r="P123" s="413"/>
      <c r="Q123" s="374">
        <f>Q121*$B$90+Q122*$B$91</f>
        <v>0.37476526162798873</v>
      </c>
      <c r="R123" s="374">
        <f>R121*$B$90+R122*$B$91</f>
        <v>0.39785655451039076</v>
      </c>
      <c r="S123" s="374">
        <f t="shared" ref="S123:BI123" si="55">S121*$B$90+S122*$B$91</f>
        <v>0.42331272606670028</v>
      </c>
      <c r="T123" s="374">
        <f t="shared" si="55"/>
        <v>0.44865025561288835</v>
      </c>
      <c r="U123" s="374">
        <f t="shared" si="55"/>
        <v>0.45642460158067588</v>
      </c>
      <c r="V123" s="374">
        <f t="shared" si="55"/>
        <v>0.50630818440128367</v>
      </c>
      <c r="W123" s="374">
        <f t="shared" si="55"/>
        <v>0.60526261970720552</v>
      </c>
      <c r="X123" s="374">
        <f t="shared" si="55"/>
        <v>0.67534509906011198</v>
      </c>
      <c r="Y123" s="374">
        <f t="shared" si="55"/>
        <v>0.69385575121492504</v>
      </c>
      <c r="Z123" s="374">
        <f t="shared" si="55"/>
        <v>0.71623796660850536</v>
      </c>
      <c r="AA123" s="374">
        <f t="shared" si="55"/>
        <v>0.73768023068096811</v>
      </c>
      <c r="AB123" s="374">
        <f t="shared" si="55"/>
        <v>0.75593967518069161</v>
      </c>
      <c r="AC123" s="374">
        <f t="shared" si="55"/>
        <v>0.77471673730595536</v>
      </c>
      <c r="AD123" s="374">
        <f t="shared" si="55"/>
        <v>0.79345464205016869</v>
      </c>
      <c r="AE123" s="374">
        <f t="shared" si="55"/>
        <v>0.81211500262051539</v>
      </c>
      <c r="AF123" s="374">
        <f t="shared" si="55"/>
        <v>0.82962678340938845</v>
      </c>
      <c r="AG123" s="374">
        <f t="shared" si="55"/>
        <v>0.84645680266655665</v>
      </c>
      <c r="AH123" s="374">
        <f t="shared" si="55"/>
        <v>0.86386822513657924</v>
      </c>
      <c r="AI123" s="374">
        <f t="shared" si="55"/>
        <v>0.88178234380919895</v>
      </c>
      <c r="AJ123" s="374">
        <f t="shared" si="55"/>
        <v>0.89879286147966653</v>
      </c>
      <c r="AK123" s="374">
        <f t="shared" si="55"/>
        <v>0.91553559086630587</v>
      </c>
      <c r="AL123" s="374">
        <f t="shared" si="55"/>
        <v>0.93192246728386774</v>
      </c>
      <c r="AM123" s="374">
        <f t="shared" si="55"/>
        <v>0.94795975171948244</v>
      </c>
      <c r="AN123" s="374">
        <f t="shared" si="55"/>
        <v>0.96283748677030379</v>
      </c>
      <c r="AO123" s="374">
        <f t="shared" si="55"/>
        <v>0.97647459499130818</v>
      </c>
      <c r="AP123" s="374">
        <f t="shared" si="55"/>
        <v>0.98958825108282389</v>
      </c>
      <c r="AQ123" s="374">
        <f t="shared" si="55"/>
        <v>1.0013477548550673</v>
      </c>
      <c r="AR123" s="374">
        <f t="shared" si="55"/>
        <v>1.0124498869307199</v>
      </c>
      <c r="AS123" s="374">
        <f t="shared" si="55"/>
        <v>1.023733938018395</v>
      </c>
      <c r="AT123" s="374">
        <f t="shared" si="55"/>
        <v>1.0352639289992744</v>
      </c>
      <c r="AU123" s="374">
        <f t="shared" si="55"/>
        <v>1.0469791182761869</v>
      </c>
      <c r="AV123" s="374">
        <f t="shared" si="55"/>
        <v>1.0588814755360698</v>
      </c>
      <c r="AW123" s="374">
        <f t="shared" si="55"/>
        <v>1.0709852590382674</v>
      </c>
      <c r="AX123" s="374">
        <f t="shared" si="55"/>
        <v>1.082383098385157</v>
      </c>
      <c r="AY123" s="374">
        <f t="shared" si="55"/>
        <v>1.093982073605968</v>
      </c>
      <c r="AZ123" s="374">
        <f t="shared" si="55"/>
        <v>1.1057938710614539</v>
      </c>
      <c r="BA123" s="374">
        <f t="shared" si="55"/>
        <v>1.117904614662627</v>
      </c>
      <c r="BB123" s="374">
        <f t="shared" si="55"/>
        <v>1.1311524986941492</v>
      </c>
      <c r="BC123" s="374">
        <f t="shared" si="55"/>
        <v>1.1446732568058615</v>
      </c>
      <c r="BD123" s="374">
        <f t="shared" si="55"/>
        <v>1.1584857290603836</v>
      </c>
      <c r="BE123" s="374">
        <f t="shared" si="55"/>
        <v>1.1725950743303679</v>
      </c>
      <c r="BF123" s="374">
        <f t="shared" si="55"/>
        <v>1.1879538734679205</v>
      </c>
      <c r="BG123" s="374">
        <f t="shared" si="55"/>
        <v>1.2037320699153129</v>
      </c>
      <c r="BH123" s="374">
        <f t="shared" si="55"/>
        <v>1.2198614503662668</v>
      </c>
      <c r="BI123" s="374">
        <f t="shared" si="55"/>
        <v>1.2372618410969589</v>
      </c>
    </row>
    <row r="124" spans="1:61">
      <c r="A124" s="854" t="s">
        <v>174</v>
      </c>
      <c r="B124" s="403" t="s">
        <v>208</v>
      </c>
      <c r="C124" s="409"/>
      <c r="D124" s="409"/>
      <c r="E124" s="409"/>
      <c r="F124" s="409"/>
      <c r="G124" s="409"/>
      <c r="H124" s="409"/>
      <c r="I124" s="409"/>
      <c r="J124" s="409"/>
      <c r="K124" s="409"/>
      <c r="L124" s="409"/>
      <c r="M124" s="409"/>
      <c r="N124" s="409"/>
      <c r="O124" s="409"/>
      <c r="P124" s="410"/>
      <c r="Q124" s="417">
        <f>AVERAGE(U35:U36)*$B$98*$Q$101*$Q$105/100</f>
        <v>9.6531666046056147E-2</v>
      </c>
      <c r="R124" s="414">
        <f>Q124*Indeksacja!R$61</f>
        <v>0.10247949846630958</v>
      </c>
      <c r="S124" s="407">
        <f>R124*Indeksacja!S$61</f>
        <v>0.10903647400030145</v>
      </c>
      <c r="T124" s="407">
        <f>S124*Indeksacja!T$61</f>
        <v>0.11556288984247363</v>
      </c>
      <c r="U124" s="407">
        <f>T124*Indeksacja!U$61</f>
        <v>0.11756539820044927</v>
      </c>
      <c r="V124" s="407">
        <f>U124*Indeksacja!V$61</f>
        <v>0.13041436220821703</v>
      </c>
      <c r="W124" s="407">
        <f>V124*Indeksacja!W$61</f>
        <v>0.15590294794647938</v>
      </c>
      <c r="X124" s="407">
        <f>W124*Indeksacja!X$61</f>
        <v>0.17395472377859975</v>
      </c>
      <c r="Y124" s="407">
        <f>X124*Indeksacja!Y$61</f>
        <v>0.17872267928317598</v>
      </c>
      <c r="Z124" s="407">
        <f>Y124*Indeksacja!Z$61</f>
        <v>0.18448786822400345</v>
      </c>
      <c r="AA124" s="407">
        <f>Z124*Indeksacja!AA$61</f>
        <v>0.19001094543164754</v>
      </c>
      <c r="AB124" s="407">
        <f>AA124*Indeksacja!AB$61</f>
        <v>0.19471419511646881</v>
      </c>
      <c r="AC124" s="407">
        <f>AB124*Indeksacja!AC$61</f>
        <v>0.19955077223817996</v>
      </c>
      <c r="AD124" s="407">
        <f>AC124*Indeksacja!AD$61</f>
        <v>0.20437726324034419</v>
      </c>
      <c r="AE124" s="407">
        <f>AD124*Indeksacja!AE$61</f>
        <v>0.20918378049077113</v>
      </c>
      <c r="AF124" s="407">
        <f>AE124*Indeksacja!AF$61</f>
        <v>0.21369444769519641</v>
      </c>
      <c r="AG124" s="407">
        <f>AF124*Indeksacja!AG$61</f>
        <v>0.21802950743745808</v>
      </c>
      <c r="AH124" s="407">
        <f>AG124*Indeksacja!AH$61</f>
        <v>0.22251432444520794</v>
      </c>
      <c r="AI124" s="407">
        <f>AH124*Indeksacja!AI$61</f>
        <v>0.22712862544445936</v>
      </c>
      <c r="AJ124" s="407">
        <f>AI124*Indeksacja!AJ$61</f>
        <v>0.23151017778979416</v>
      </c>
      <c r="AK124" s="407">
        <f>AJ124*Indeksacja!AK$61</f>
        <v>0.23582275349339521</v>
      </c>
      <c r="AL124" s="407">
        <f>AK124*Indeksacja!AL$61</f>
        <v>0.24004366894059131</v>
      </c>
      <c r="AM124" s="407">
        <f>AL124*Indeksacja!AM$61</f>
        <v>0.24417453683026541</v>
      </c>
      <c r="AN124" s="407">
        <f>AM124*Indeksacja!AN$61</f>
        <v>0.24800672913434615</v>
      </c>
      <c r="AO124" s="407">
        <f>AN124*Indeksacja!AO$61</f>
        <v>0.25151936200460046</v>
      </c>
      <c r="AP124" s="407">
        <f>AO124*Indeksacja!AP$61</f>
        <v>0.25489716459219891</v>
      </c>
      <c r="AQ124" s="407">
        <f>AP124*Indeksacja!AQ$61</f>
        <v>0.25792616596249229</v>
      </c>
      <c r="AR124" s="407">
        <f>AQ124*Indeksacja!AR$61</f>
        <v>0.26078584218026812</v>
      </c>
      <c r="AS124" s="407">
        <f>AR124*Indeksacja!AS$61</f>
        <v>0.26369237691753344</v>
      </c>
      <c r="AT124" s="407">
        <f>AS124*Indeksacja!AT$61</f>
        <v>0.26666226060964876</v>
      </c>
      <c r="AU124" s="407">
        <f>AT124*Indeksacja!AU$61</f>
        <v>0.26967984749599111</v>
      </c>
      <c r="AV124" s="407">
        <f>AU124*Indeksacja!AV$61</f>
        <v>0.27274564492657677</v>
      </c>
      <c r="AW124" s="407">
        <f>AV124*Indeksacja!AW$61</f>
        <v>0.27586332552976917</v>
      </c>
      <c r="AX124" s="407">
        <f>AW124*Indeksacja!AX$61</f>
        <v>0.27879916973448821</v>
      </c>
      <c r="AY124" s="407">
        <f>AX124*Indeksacja!AY$61</f>
        <v>0.28178682231900992</v>
      </c>
      <c r="AZ124" s="407">
        <f>AY124*Indeksacja!AZ$61</f>
        <v>0.28482929344459801</v>
      </c>
      <c r="BA124" s="407">
        <f>AZ124*Indeksacja!BA$61</f>
        <v>0.28794876682321213</v>
      </c>
      <c r="BB124" s="407">
        <f>BA124*Indeksacja!BB$61</f>
        <v>0.29136114371106053</v>
      </c>
      <c r="BC124" s="407">
        <f>BB124*Indeksacja!BC$61</f>
        <v>0.29484380723504772</v>
      </c>
      <c r="BD124" s="407">
        <f>BC124*Indeksacja!BD$61</f>
        <v>0.29840161019990058</v>
      </c>
      <c r="BE124" s="407">
        <f>BD124*Indeksacja!BE$61</f>
        <v>0.30203588142294319</v>
      </c>
      <c r="BF124" s="407">
        <f>BE124*Indeksacja!BF$61</f>
        <v>0.30599198573948039</v>
      </c>
      <c r="BG124" s="407">
        <f>BF124*Indeksacja!BG$61</f>
        <v>0.31005611800097227</v>
      </c>
      <c r="BH124" s="407">
        <f>BG124*Indeksacja!BH$61</f>
        <v>0.31421070789134159</v>
      </c>
      <c r="BI124" s="407">
        <f>BH124*Indeksacja!BI$61</f>
        <v>0.31869268335456746</v>
      </c>
    </row>
    <row r="125" spans="1:61">
      <c r="A125" s="854"/>
      <c r="B125" s="404" t="s">
        <v>209</v>
      </c>
      <c r="C125" s="411"/>
      <c r="D125" s="411"/>
      <c r="E125" s="411"/>
      <c r="F125" s="411"/>
      <c r="G125" s="411"/>
      <c r="H125" s="411"/>
      <c r="I125" s="411"/>
      <c r="J125" s="411"/>
      <c r="K125" s="411"/>
      <c r="L125" s="411"/>
      <c r="M125" s="411"/>
      <c r="N125" s="411"/>
      <c r="O125" s="411"/>
      <c r="P125" s="412"/>
      <c r="Q125" s="418">
        <f>AVERAGE(U37:U38)*$B$98*$Q$101*$Q$105/100</f>
        <v>0.17581655793945114</v>
      </c>
      <c r="R125" s="415">
        <f>Q125*Indeksacja!R$61</f>
        <v>0.18664955674867822</v>
      </c>
      <c r="S125" s="408">
        <f>R125*Indeksacja!S$61</f>
        <v>0.19859200958409931</v>
      </c>
      <c r="T125" s="408">
        <f>S125*Indeksacja!T$61</f>
        <v>0.21047880296550389</v>
      </c>
      <c r="U125" s="408">
        <f>T125*Indeksacja!U$61</f>
        <v>0.21412604268657406</v>
      </c>
      <c r="V125" s="408">
        <f>U125*Indeksacja!V$61</f>
        <v>0.23752831799647914</v>
      </c>
      <c r="W125" s="408">
        <f>V125*Indeksacja!W$61</f>
        <v>0.2839515860783518</v>
      </c>
      <c r="X125" s="408">
        <f>W125*Indeksacja!X$61</f>
        <v>0.31682992767854468</v>
      </c>
      <c r="Y125" s="408">
        <f>X125*Indeksacja!Y$61</f>
        <v>0.32551397468155713</v>
      </c>
      <c r="Z125" s="408">
        <f>Y125*Indeksacja!Z$61</f>
        <v>0.33601431842330165</v>
      </c>
      <c r="AA125" s="408">
        <f>Z125*Indeksacja!AA$61</f>
        <v>0.34607369545113126</v>
      </c>
      <c r="AB125" s="408">
        <f>AA125*Indeksacja!AB$61</f>
        <v>0.35463989144240898</v>
      </c>
      <c r="AC125" s="408">
        <f>AB125*Indeksacja!AC$61</f>
        <v>0.36344892143824725</v>
      </c>
      <c r="AD125" s="408">
        <f>AC125*Indeksacja!AD$61</f>
        <v>0.37223958122569339</v>
      </c>
      <c r="AE125" s="408">
        <f>AD125*Indeksacja!AE$61</f>
        <v>0.38099386210843988</v>
      </c>
      <c r="AF125" s="408">
        <f>AE125*Indeksacja!AF$61</f>
        <v>0.38920930077614141</v>
      </c>
      <c r="AG125" s="408">
        <f>AF125*Indeksacja!AG$61</f>
        <v>0.39710489932493975</v>
      </c>
      <c r="AH125" s="408">
        <f>AG125*Indeksacja!AH$61</f>
        <v>0.4052732561096935</v>
      </c>
      <c r="AI125" s="408">
        <f>AH125*Indeksacja!AI$61</f>
        <v>0.41367744669517337</v>
      </c>
      <c r="AJ125" s="408">
        <f>AI125*Indeksacja!AJ$61</f>
        <v>0.4216577238761427</v>
      </c>
      <c r="AK125" s="408">
        <f>AJ125*Indeksacja!AK$61</f>
        <v>0.42951237144535265</v>
      </c>
      <c r="AL125" s="408">
        <f>AK125*Indeksacja!AL$61</f>
        <v>0.43720007492832591</v>
      </c>
      <c r="AM125" s="408">
        <f>AL125*Indeksacja!AM$61</f>
        <v>0.44472377159091736</v>
      </c>
      <c r="AN125" s="408">
        <f>AM125*Indeksacja!AN$61</f>
        <v>0.45170347978267356</v>
      </c>
      <c r="AO125" s="408">
        <f>AN125*Indeksacja!AO$61</f>
        <v>0.45810116300776604</v>
      </c>
      <c r="AP125" s="408">
        <f>AO125*Indeksacja!AP$61</f>
        <v>0.46425327504183356</v>
      </c>
      <c r="AQ125" s="408">
        <f>AP125*Indeksacja!AQ$61</f>
        <v>0.4697701030085733</v>
      </c>
      <c r="AR125" s="408">
        <f>AQ125*Indeksacja!AR$61</f>
        <v>0.47497853305049104</v>
      </c>
      <c r="AS125" s="408">
        <f>AR125*Indeksacja!AS$61</f>
        <v>0.48027230818116812</v>
      </c>
      <c r="AT125" s="408">
        <f>AS125*Indeksacja!AT$61</f>
        <v>0.48568146301725162</v>
      </c>
      <c r="AU125" s="408">
        <f>AT125*Indeksacja!AU$61</f>
        <v>0.49117750137824717</v>
      </c>
      <c r="AV125" s="408">
        <f>AU125*Indeksacja!AV$61</f>
        <v>0.49676134731879079</v>
      </c>
      <c r="AW125" s="408">
        <f>AV125*Indeksacja!AW$61</f>
        <v>0.50243968992759191</v>
      </c>
      <c r="AX125" s="408">
        <f>AW125*Indeksacja!AX$61</f>
        <v>0.50778684743416502</v>
      </c>
      <c r="AY125" s="408">
        <f>AX125*Indeksacja!AY$61</f>
        <v>0.51322836538620065</v>
      </c>
      <c r="AZ125" s="408">
        <f>AY125*Indeksacja!AZ$61</f>
        <v>0.51876972629750873</v>
      </c>
      <c r="BA125" s="408">
        <f>AZ125*Indeksacja!BA$61</f>
        <v>0.52445133415197176</v>
      </c>
      <c r="BB125" s="408">
        <f>BA125*Indeksacja!BB$61</f>
        <v>0.5306664175892285</v>
      </c>
      <c r="BC125" s="408">
        <f>BB125*Indeksacja!BC$61</f>
        <v>0.53700951657766371</v>
      </c>
      <c r="BD125" s="408">
        <f>BC125*Indeksacja!BD$61</f>
        <v>0.54348946970318801</v>
      </c>
      <c r="BE125" s="408">
        <f>BD125*Indeksacja!BE$61</f>
        <v>0.55010869718807254</v>
      </c>
      <c r="BF125" s="408">
        <f>BE125*Indeksacja!BF$61</f>
        <v>0.55731409073687055</v>
      </c>
      <c r="BG125" s="408">
        <f>BF125*Indeksacja!BG$61</f>
        <v>0.56471623942541871</v>
      </c>
      <c r="BH125" s="408">
        <f>BG125*Indeksacja!BH$61</f>
        <v>0.57228314181189854</v>
      </c>
      <c r="BI125" s="408">
        <f>BH125*Indeksacja!BI$61</f>
        <v>0.58044632319050948</v>
      </c>
    </row>
    <row r="126" spans="1:61">
      <c r="A126" s="854"/>
      <c r="B126" s="402" t="s">
        <v>227</v>
      </c>
      <c r="C126" s="377"/>
      <c r="D126" s="377"/>
      <c r="E126" s="377"/>
      <c r="F126" s="377"/>
      <c r="G126" s="377"/>
      <c r="H126" s="377"/>
      <c r="I126" s="377"/>
      <c r="J126" s="377"/>
      <c r="K126" s="377"/>
      <c r="L126" s="377"/>
      <c r="M126" s="377"/>
      <c r="N126" s="377"/>
      <c r="O126" s="377"/>
      <c r="P126" s="413"/>
      <c r="Q126" s="374">
        <f>Q124*$B$90+Q125*$B$91</f>
        <v>0.1084243998300654</v>
      </c>
      <c r="R126" s="374">
        <f>R124*$B$90+R125*$B$91</f>
        <v>0.11510500720866487</v>
      </c>
      <c r="S126" s="374">
        <f t="shared" ref="S126:BI126" si="56">S124*$B$90+S125*$B$91</f>
        <v>0.12246980433787114</v>
      </c>
      <c r="T126" s="374">
        <f t="shared" si="56"/>
        <v>0.12980027681092818</v>
      </c>
      <c r="U126" s="374">
        <f t="shared" si="56"/>
        <v>0.13204949487336798</v>
      </c>
      <c r="V126" s="374">
        <f t="shared" si="56"/>
        <v>0.14648145557645637</v>
      </c>
      <c r="W126" s="374">
        <f t="shared" si="56"/>
        <v>0.17511024366626024</v>
      </c>
      <c r="X126" s="374">
        <f t="shared" si="56"/>
        <v>0.19538600436359149</v>
      </c>
      <c r="Y126" s="374">
        <f t="shared" si="56"/>
        <v>0.20074137359293315</v>
      </c>
      <c r="Z126" s="374">
        <f t="shared" si="56"/>
        <v>0.20721683575389818</v>
      </c>
      <c r="AA126" s="374">
        <f t="shared" si="56"/>
        <v>0.21342035793457009</v>
      </c>
      <c r="AB126" s="374">
        <f t="shared" si="56"/>
        <v>0.21870304956535985</v>
      </c>
      <c r="AC126" s="374">
        <f t="shared" si="56"/>
        <v>0.22413549461819005</v>
      </c>
      <c r="AD126" s="374">
        <f t="shared" si="56"/>
        <v>0.22955661093814658</v>
      </c>
      <c r="AE126" s="374">
        <f t="shared" si="56"/>
        <v>0.23495529273342147</v>
      </c>
      <c r="AF126" s="374">
        <f t="shared" si="56"/>
        <v>0.24002167565733817</v>
      </c>
      <c r="AG126" s="374">
        <f t="shared" si="56"/>
        <v>0.24489081622058034</v>
      </c>
      <c r="AH126" s="374">
        <f t="shared" si="56"/>
        <v>0.24992816419488076</v>
      </c>
      <c r="AI126" s="374">
        <f t="shared" si="56"/>
        <v>0.25511094863206646</v>
      </c>
      <c r="AJ126" s="374">
        <f t="shared" si="56"/>
        <v>0.26003230970274643</v>
      </c>
      <c r="AK126" s="374">
        <f t="shared" si="56"/>
        <v>0.26487619618618885</v>
      </c>
      <c r="AL126" s="374">
        <f t="shared" si="56"/>
        <v>0.26961712983875152</v>
      </c>
      <c r="AM126" s="374">
        <f t="shared" si="56"/>
        <v>0.27425692204436325</v>
      </c>
      <c r="AN126" s="374">
        <f t="shared" si="56"/>
        <v>0.2785612417315953</v>
      </c>
      <c r="AO126" s="374">
        <f t="shared" si="56"/>
        <v>0.28250663215507532</v>
      </c>
      <c r="AP126" s="374">
        <f t="shared" si="56"/>
        <v>0.28630058115964407</v>
      </c>
      <c r="AQ126" s="374">
        <f t="shared" si="56"/>
        <v>0.28970275651940447</v>
      </c>
      <c r="AR126" s="374">
        <f t="shared" si="56"/>
        <v>0.29291474581080157</v>
      </c>
      <c r="AS126" s="374">
        <f t="shared" si="56"/>
        <v>0.29617936660707866</v>
      </c>
      <c r="AT126" s="374">
        <f t="shared" si="56"/>
        <v>0.29951514097078918</v>
      </c>
      <c r="AU126" s="374">
        <f t="shared" si="56"/>
        <v>0.30290449557832949</v>
      </c>
      <c r="AV126" s="374">
        <f t="shared" si="56"/>
        <v>0.30634800028540887</v>
      </c>
      <c r="AW126" s="374">
        <f t="shared" si="56"/>
        <v>0.30984978018944259</v>
      </c>
      <c r="AX126" s="374">
        <f t="shared" si="56"/>
        <v>0.31314732138943974</v>
      </c>
      <c r="AY126" s="374">
        <f t="shared" si="56"/>
        <v>0.31650305377908855</v>
      </c>
      <c r="AZ126" s="374">
        <f t="shared" si="56"/>
        <v>0.31992035837253463</v>
      </c>
      <c r="BA126" s="374">
        <f t="shared" si="56"/>
        <v>0.32342415192252605</v>
      </c>
      <c r="BB126" s="374">
        <f t="shared" si="56"/>
        <v>0.32725693479278573</v>
      </c>
      <c r="BC126" s="374">
        <f t="shared" si="56"/>
        <v>0.3311686636364401</v>
      </c>
      <c r="BD126" s="374">
        <f t="shared" si="56"/>
        <v>0.33516478912539371</v>
      </c>
      <c r="BE126" s="374">
        <f t="shared" si="56"/>
        <v>0.3392468037877126</v>
      </c>
      <c r="BF126" s="374">
        <f t="shared" si="56"/>
        <v>0.34369030148908897</v>
      </c>
      <c r="BG126" s="374">
        <f t="shared" si="56"/>
        <v>0.34825513621463922</v>
      </c>
      <c r="BH126" s="374">
        <f t="shared" si="56"/>
        <v>0.35292157297942511</v>
      </c>
      <c r="BI126" s="374">
        <f t="shared" si="56"/>
        <v>0.35795572932995878</v>
      </c>
    </row>
    <row r="127" spans="1:61">
      <c r="A127" s="854" t="s">
        <v>695</v>
      </c>
      <c r="B127" s="403" t="s">
        <v>208</v>
      </c>
      <c r="C127" s="409"/>
      <c r="D127" s="409"/>
      <c r="E127" s="409"/>
      <c r="F127" s="409"/>
      <c r="G127" s="409"/>
      <c r="H127" s="409"/>
      <c r="I127" s="409"/>
      <c r="J127" s="409"/>
      <c r="K127" s="409"/>
      <c r="L127" s="409"/>
      <c r="M127" s="409"/>
      <c r="N127" s="409"/>
      <c r="O127" s="409"/>
      <c r="P127" s="410"/>
      <c r="Q127" s="417">
        <f>AVERAGE(U39:U40)*$B$98*$Q$101*$Q$105/100</f>
        <v>0.30381346854835384</v>
      </c>
      <c r="R127" s="414">
        <f>Q127*Indeksacja!R$61</f>
        <v>0.32253304184443055</v>
      </c>
      <c r="S127" s="407">
        <f>R127*Indeksacja!S$61</f>
        <v>0.34316976719855752</v>
      </c>
      <c r="T127" s="407">
        <f>S127*Indeksacja!T$61</f>
        <v>0.36371031223849537</v>
      </c>
      <c r="U127" s="407">
        <f>T127*Indeksacja!U$61</f>
        <v>0.37001279343407917</v>
      </c>
      <c r="V127" s="407">
        <f>U127*Indeksacja!V$61</f>
        <v>0.41045225213554187</v>
      </c>
      <c r="W127" s="407">
        <f>V127*Indeksacja!W$61</f>
        <v>0.49067230798580519</v>
      </c>
      <c r="X127" s="407">
        <f>W127*Indeksacja!X$61</f>
        <v>0.54748654163217347</v>
      </c>
      <c r="Y127" s="407">
        <f>X127*Indeksacja!Y$61</f>
        <v>0.56249269618293407</v>
      </c>
      <c r="Z127" s="407">
        <f>Y127*Indeksacja!Z$61</f>
        <v>0.5806374368746956</v>
      </c>
      <c r="AA127" s="407">
        <f>Z127*Indeksacja!AA$61</f>
        <v>0.59802018092382581</v>
      </c>
      <c r="AB127" s="407">
        <f>AA127*Indeksacja!AB$61</f>
        <v>0.61282268727974798</v>
      </c>
      <c r="AC127" s="407">
        <f>AB127*Indeksacja!AC$61</f>
        <v>0.62804481418831704</v>
      </c>
      <c r="AD127" s="407">
        <f>AC127*Indeksacja!AD$61</f>
        <v>0.64323519712012434</v>
      </c>
      <c r="AE127" s="407">
        <f>AD127*Indeksacja!AE$61</f>
        <v>0.65836271679634117</v>
      </c>
      <c r="AF127" s="407">
        <f>AE127*Indeksacja!AF$61</f>
        <v>0.67255910959650189</v>
      </c>
      <c r="AG127" s="407">
        <f>AF127*Indeksacja!AG$61</f>
        <v>0.68620281420253726</v>
      </c>
      <c r="AH127" s="407">
        <f>AG127*Indeksacja!AH$61</f>
        <v>0.70031784885115766</v>
      </c>
      <c r="AI127" s="407">
        <f>AH127*Indeksacja!AI$61</f>
        <v>0.71484040760239531</v>
      </c>
      <c r="AJ127" s="407">
        <f>AI127*Indeksacja!AJ$61</f>
        <v>0.7286304380679135</v>
      </c>
      <c r="AK127" s="407">
        <f>AJ127*Indeksacja!AK$61</f>
        <v>0.74220337880907172</v>
      </c>
      <c r="AL127" s="407">
        <f>AK127*Indeksacja!AL$61</f>
        <v>0.755487837836746</v>
      </c>
      <c r="AM127" s="407">
        <f>AL127*Indeksacja!AM$61</f>
        <v>0.76848889078737181</v>
      </c>
      <c r="AN127" s="407">
        <f>AM127*Indeksacja!AN$61</f>
        <v>0.78054992406003487</v>
      </c>
      <c r="AO127" s="407">
        <f>AN127*Indeksacja!AO$61</f>
        <v>0.79160521005851492</v>
      </c>
      <c r="AP127" s="407">
        <f>AO127*Indeksacja!AP$61</f>
        <v>0.8022361456078948</v>
      </c>
      <c r="AQ127" s="407">
        <f>AP127*Indeksacja!AQ$61</f>
        <v>0.81176930141303227</v>
      </c>
      <c r="AR127" s="407">
        <f>AQ127*Indeksacja!AR$61</f>
        <v>0.82076954129528179</v>
      </c>
      <c r="AS127" s="407">
        <f>AR127*Indeksacja!AS$61</f>
        <v>0.82991725868331023</v>
      </c>
      <c r="AT127" s="407">
        <f>AS127*Indeksacja!AT$61</f>
        <v>0.83926435381431375</v>
      </c>
      <c r="AU127" s="407">
        <f>AT127*Indeksacja!AU$61</f>
        <v>0.84876158489026232</v>
      </c>
      <c r="AV127" s="407">
        <f>AU127*Indeksacja!AV$61</f>
        <v>0.8584105486904775</v>
      </c>
      <c r="AW127" s="407">
        <f>AV127*Indeksacja!AW$61</f>
        <v>0.868222804053706</v>
      </c>
      <c r="AX127" s="407">
        <f>AW127*Indeksacja!AX$61</f>
        <v>0.87746276693311709</v>
      </c>
      <c r="AY127" s="407">
        <f>AX127*Indeksacja!AY$61</f>
        <v>0.88686578598064847</v>
      </c>
      <c r="AZ127" s="407">
        <f>AY127*Indeksacja!AZ$61</f>
        <v>0.89644133505676316</v>
      </c>
      <c r="BA127" s="407">
        <f>AZ127*Indeksacja!BA$61</f>
        <v>0.90625923281011622</v>
      </c>
      <c r="BB127" s="407">
        <f>BA127*Indeksacja!BB$61</f>
        <v>0.9169989838240149</v>
      </c>
      <c r="BC127" s="407">
        <f>BB127*Indeksacja!BC$61</f>
        <v>0.92795994749892508</v>
      </c>
      <c r="BD127" s="407">
        <f>BC127*Indeksacja!BD$61</f>
        <v>0.93915739703478884</v>
      </c>
      <c r="BE127" s="407">
        <f>BD127*Indeksacja!BE$61</f>
        <v>0.95059551460950509</v>
      </c>
      <c r="BF127" s="407">
        <f>BE127*Indeksacja!BF$61</f>
        <v>0.96304653533230955</v>
      </c>
      <c r="BG127" s="407">
        <f>BF127*Indeksacja!BG$61</f>
        <v>0.97583755168557551</v>
      </c>
      <c r="BH127" s="407">
        <f>BG127*Indeksacja!BH$61</f>
        <v>0.98891326473073116</v>
      </c>
      <c r="BI127" s="407">
        <f>BH127*Indeksacja!BI$61</f>
        <v>1.0030193562052283</v>
      </c>
    </row>
    <row r="128" spans="1:61">
      <c r="A128" s="854"/>
      <c r="B128" s="404" t="s">
        <v>209</v>
      </c>
      <c r="C128" s="411"/>
      <c r="D128" s="411"/>
      <c r="E128" s="411"/>
      <c r="F128" s="411"/>
      <c r="G128" s="411"/>
      <c r="H128" s="411"/>
      <c r="I128" s="411"/>
      <c r="J128" s="411"/>
      <c r="K128" s="411"/>
      <c r="L128" s="411"/>
      <c r="M128" s="411"/>
      <c r="N128" s="411"/>
      <c r="O128" s="411"/>
      <c r="P128" s="412"/>
      <c r="Q128" s="418">
        <f>AVERAGE(U41:U42)*$B$98*$Q$101*$Q$105/100</f>
        <v>0.55335583501828256</v>
      </c>
      <c r="R128" s="415">
        <f>Q128*Indeksacja!R$61</f>
        <v>0.58745104864370423</v>
      </c>
      <c r="S128" s="408">
        <f>R128*Indeksacja!S$61</f>
        <v>0.62503809982000325</v>
      </c>
      <c r="T128" s="408">
        <f>S128*Indeksacja!T$61</f>
        <v>0.66244997134306061</v>
      </c>
      <c r="U128" s="408">
        <f>T128*Indeksacja!U$61</f>
        <v>0.67392910280267937</v>
      </c>
      <c r="V128" s="408">
        <f>U128*Indeksacja!V$61</f>
        <v>0.74758419961045552</v>
      </c>
      <c r="W128" s="408">
        <f>V128*Indeksacja!W$61</f>
        <v>0.89369436451636297</v>
      </c>
      <c r="X128" s="408">
        <f>W128*Indeksacja!X$61</f>
        <v>0.99717393653970243</v>
      </c>
      <c r="Y128" s="408">
        <f>X128*Indeksacja!Y$61</f>
        <v>1.0245056516921791</v>
      </c>
      <c r="Z128" s="408">
        <f>Y128*Indeksacja!Z$61</f>
        <v>1.0575538841640779</v>
      </c>
      <c r="AA128" s="408">
        <f>Z128*Indeksacja!AA$61</f>
        <v>1.0892142410737804</v>
      </c>
      <c r="AB128" s="408">
        <f>AA128*Indeksacja!AB$61</f>
        <v>1.1161750381183693</v>
      </c>
      <c r="AC128" s="408">
        <f>AB128*Indeksacja!AC$61</f>
        <v>1.1439001182028452</v>
      </c>
      <c r="AD128" s="408">
        <f>AC128*Indeksacja!AD$61</f>
        <v>1.1715673808546321</v>
      </c>
      <c r="AE128" s="408">
        <f>AD128*Indeksacja!AE$61</f>
        <v>1.1991201464452601</v>
      </c>
      <c r="AF128" s="408">
        <f>AE128*Indeksacja!AF$61</f>
        <v>1.2249769882426811</v>
      </c>
      <c r="AG128" s="408">
        <f>AF128*Indeksacja!AG$61</f>
        <v>1.2498271819852074</v>
      </c>
      <c r="AH128" s="408">
        <f>AG128*Indeksacja!AH$61</f>
        <v>1.2755358407277548</v>
      </c>
      <c r="AI128" s="408">
        <f>AH128*Indeksacja!AI$61</f>
        <v>1.3019867504349201</v>
      </c>
      <c r="AJ128" s="408">
        <f>AI128*Indeksacja!AJ$61</f>
        <v>1.3271034572736093</v>
      </c>
      <c r="AK128" s="408">
        <f>AJ128*Indeksacja!AK$61</f>
        <v>1.3518247640457017</v>
      </c>
      <c r="AL128" s="408">
        <f>AK128*Indeksacja!AL$61</f>
        <v>1.3760206397359691</v>
      </c>
      <c r="AM128" s="408">
        <f>AL128*Indeksacja!AM$61</f>
        <v>1.3997003289412733</v>
      </c>
      <c r="AN128" s="408">
        <f>AM128*Indeksacja!AN$61</f>
        <v>1.421667897297169</v>
      </c>
      <c r="AO128" s="408">
        <f>AN128*Indeksacja!AO$61</f>
        <v>1.4418036307269106</v>
      </c>
      <c r="AP128" s="408">
        <f>AO128*Indeksacja!AP$61</f>
        <v>1.461166466239308</v>
      </c>
      <c r="AQ128" s="408">
        <f>AP128*Indeksacja!AQ$61</f>
        <v>1.4785298419188548</v>
      </c>
      <c r="AR128" s="408">
        <f>AQ128*Indeksacja!AR$61</f>
        <v>1.4949225821064558</v>
      </c>
      <c r="AS128" s="408">
        <f>AR128*Indeksacja!AS$61</f>
        <v>1.5115839329608143</v>
      </c>
      <c r="AT128" s="408">
        <f>AS128*Indeksacja!AT$61</f>
        <v>1.5286084238628315</v>
      </c>
      <c r="AU128" s="408">
        <f>AT128*Indeksacja!AU$61</f>
        <v>1.5459063674250559</v>
      </c>
      <c r="AV128" s="408">
        <f>AU128*Indeksacja!AV$61</f>
        <v>1.5634806719686989</v>
      </c>
      <c r="AW128" s="408">
        <f>AV128*Indeksacja!AW$61</f>
        <v>1.5813523903815638</v>
      </c>
      <c r="AX128" s="408">
        <f>AW128*Indeksacja!AX$61</f>
        <v>1.5981817541326337</v>
      </c>
      <c r="AY128" s="408">
        <f>AX128*Indeksacja!AY$61</f>
        <v>1.6153081030124281</v>
      </c>
      <c r="AZ128" s="408">
        <f>AY128*Indeksacja!AZ$61</f>
        <v>1.6327486923980454</v>
      </c>
      <c r="BA128" s="408">
        <f>AZ128*Indeksacja!BA$61</f>
        <v>1.650630687674256</v>
      </c>
      <c r="BB128" s="408">
        <f>BA128*Indeksacja!BB$61</f>
        <v>1.6701917160861302</v>
      </c>
      <c r="BC128" s="408">
        <f>BB128*Indeksacja!BC$61</f>
        <v>1.6901556539454869</v>
      </c>
      <c r="BD128" s="408">
        <f>BC128*Indeksacja!BD$61</f>
        <v>1.7105503193551506</v>
      </c>
      <c r="BE128" s="408">
        <f>BD128*Indeksacja!BE$61</f>
        <v>1.7313833295960612</v>
      </c>
      <c r="BF128" s="408">
        <f>BE128*Indeksacja!BF$61</f>
        <v>1.7540612082359308</v>
      </c>
      <c r="BG128" s="408">
        <f>BF128*Indeksacja!BG$61</f>
        <v>1.7773583437076175</v>
      </c>
      <c r="BH128" s="408">
        <f>BG128*Indeksacja!BH$61</f>
        <v>1.801174016347588</v>
      </c>
      <c r="BI128" s="408">
        <f>BH128*Indeksacja!BI$61</f>
        <v>1.82686638628764</v>
      </c>
    </row>
    <row r="129" spans="1:61">
      <c r="A129" s="854"/>
      <c r="B129" s="402" t="s">
        <v>227</v>
      </c>
      <c r="C129" s="377"/>
      <c r="D129" s="377"/>
      <c r="E129" s="377"/>
      <c r="F129" s="377"/>
      <c r="G129" s="377"/>
      <c r="H129" s="377"/>
      <c r="I129" s="377"/>
      <c r="J129" s="377"/>
      <c r="K129" s="377"/>
      <c r="L129" s="377"/>
      <c r="M129" s="377"/>
      <c r="N129" s="377"/>
      <c r="O129" s="377"/>
      <c r="P129" s="413"/>
      <c r="Q129" s="374">
        <f>Q127*$B$90+Q128*$B$91</f>
        <v>0.34124482351884311</v>
      </c>
      <c r="R129" s="374">
        <f>R127*$B$90+R128*$B$91</f>
        <v>0.36227074286432159</v>
      </c>
      <c r="S129" s="374">
        <f t="shared" ref="S129:BI129" si="57">S127*$B$90+S128*$B$91</f>
        <v>0.3854500170917744</v>
      </c>
      <c r="T129" s="374">
        <f t="shared" si="57"/>
        <v>0.40852126110418013</v>
      </c>
      <c r="U129" s="374">
        <f t="shared" si="57"/>
        <v>0.41560023983936922</v>
      </c>
      <c r="V129" s="374">
        <f t="shared" si="57"/>
        <v>0.4610220442567789</v>
      </c>
      <c r="W129" s="374">
        <f t="shared" si="57"/>
        <v>0.55112561646538882</v>
      </c>
      <c r="X129" s="374">
        <f t="shared" si="57"/>
        <v>0.61493965086830282</v>
      </c>
      <c r="Y129" s="374">
        <f t="shared" si="57"/>
        <v>0.6317946395093208</v>
      </c>
      <c r="Z129" s="374">
        <f t="shared" si="57"/>
        <v>0.65217490396810296</v>
      </c>
      <c r="AA129" s="374">
        <f t="shared" si="57"/>
        <v>0.671699289946319</v>
      </c>
      <c r="AB129" s="374">
        <f t="shared" si="57"/>
        <v>0.68832553990554113</v>
      </c>
      <c r="AC129" s="374">
        <f t="shared" si="57"/>
        <v>0.70542310979049627</v>
      </c>
      <c r="AD129" s="374">
        <f t="shared" si="57"/>
        <v>0.72248502468030051</v>
      </c>
      <c r="AE129" s="374">
        <f t="shared" si="57"/>
        <v>0.73947633124367906</v>
      </c>
      <c r="AF129" s="374">
        <f t="shared" si="57"/>
        <v>0.75542179139342869</v>
      </c>
      <c r="AG129" s="374">
        <f t="shared" si="57"/>
        <v>0.77074646936993774</v>
      </c>
      <c r="AH129" s="374">
        <f t="shared" si="57"/>
        <v>0.78660054763264731</v>
      </c>
      <c r="AI129" s="374">
        <f t="shared" si="57"/>
        <v>0.80291235902727409</v>
      </c>
      <c r="AJ129" s="374">
        <f t="shared" si="57"/>
        <v>0.81840139094876796</v>
      </c>
      <c r="AK129" s="374">
        <f t="shared" si="57"/>
        <v>0.83364658659456614</v>
      </c>
      <c r="AL129" s="374">
        <f t="shared" si="57"/>
        <v>0.84856775812162955</v>
      </c>
      <c r="AM129" s="374">
        <f t="shared" si="57"/>
        <v>0.86317060651045707</v>
      </c>
      <c r="AN129" s="374">
        <f t="shared" si="57"/>
        <v>0.87671762004560505</v>
      </c>
      <c r="AO129" s="374">
        <f t="shared" si="57"/>
        <v>0.88913497315877432</v>
      </c>
      <c r="AP129" s="374">
        <f t="shared" si="57"/>
        <v>0.90107569370260676</v>
      </c>
      <c r="AQ129" s="374">
        <f t="shared" si="57"/>
        <v>0.91178338248890567</v>
      </c>
      <c r="AR129" s="374">
        <f t="shared" si="57"/>
        <v>0.921892497416958</v>
      </c>
      <c r="AS129" s="374">
        <f t="shared" si="57"/>
        <v>0.93216725982493587</v>
      </c>
      <c r="AT129" s="374">
        <f t="shared" si="57"/>
        <v>0.94266596432159144</v>
      </c>
      <c r="AU129" s="374">
        <f t="shared" si="57"/>
        <v>0.95333330227048141</v>
      </c>
      <c r="AV129" s="374">
        <f t="shared" si="57"/>
        <v>0.96417106718221079</v>
      </c>
      <c r="AW129" s="374">
        <f t="shared" si="57"/>
        <v>0.97519224200288468</v>
      </c>
      <c r="AX129" s="374">
        <f t="shared" si="57"/>
        <v>0.98557061501304466</v>
      </c>
      <c r="AY129" s="374">
        <f t="shared" si="57"/>
        <v>0.99613213353541541</v>
      </c>
      <c r="AZ129" s="374">
        <f t="shared" si="57"/>
        <v>1.0068874386579556</v>
      </c>
      <c r="BA129" s="374">
        <f t="shared" si="57"/>
        <v>1.0179149510397372</v>
      </c>
      <c r="BB129" s="374">
        <f t="shared" si="57"/>
        <v>1.0299778936633324</v>
      </c>
      <c r="BC129" s="374">
        <f t="shared" si="57"/>
        <v>1.0422893034659095</v>
      </c>
      <c r="BD129" s="374">
        <f t="shared" si="57"/>
        <v>1.0548663353828431</v>
      </c>
      <c r="BE129" s="374">
        <f t="shared" si="57"/>
        <v>1.0677136868574886</v>
      </c>
      <c r="BF129" s="374">
        <f t="shared" si="57"/>
        <v>1.0816987362678527</v>
      </c>
      <c r="BG129" s="374">
        <f t="shared" si="57"/>
        <v>1.0960656704888818</v>
      </c>
      <c r="BH129" s="374">
        <f t="shared" si="57"/>
        <v>1.1107523774732597</v>
      </c>
      <c r="BI129" s="374">
        <f t="shared" si="57"/>
        <v>1.1265964107175901</v>
      </c>
    </row>
    <row r="130" spans="1:61">
      <c r="A130" s="388" t="s">
        <v>226</v>
      </c>
      <c r="B130" s="388"/>
      <c r="C130" s="388"/>
      <c r="D130" s="388"/>
      <c r="E130" s="388"/>
      <c r="F130" s="388"/>
      <c r="G130" s="388"/>
      <c r="H130" s="388"/>
      <c r="I130" s="388"/>
      <c r="J130" s="388"/>
      <c r="K130" s="388"/>
      <c r="L130" s="388"/>
      <c r="M130" s="388"/>
      <c r="N130" s="388"/>
      <c r="O130" s="388"/>
      <c r="P130" s="399"/>
      <c r="Q130" s="399"/>
      <c r="R130" s="399"/>
      <c r="S130" s="399"/>
      <c r="T130" s="399"/>
      <c r="U130" s="399"/>
      <c r="V130" s="399"/>
      <c r="W130" s="399"/>
      <c r="X130" s="399"/>
      <c r="Y130" s="399"/>
      <c r="Z130" s="399"/>
      <c r="AA130" s="399"/>
      <c r="AB130" s="399"/>
      <c r="AC130" s="399"/>
      <c r="AD130" s="399"/>
      <c r="AE130" s="399"/>
      <c r="AF130" s="399"/>
      <c r="AG130" s="399"/>
      <c r="AH130" s="399"/>
      <c r="AI130" s="399"/>
      <c r="AJ130" s="399"/>
      <c r="AK130" s="399"/>
      <c r="AL130" s="399"/>
      <c r="AM130" s="399"/>
      <c r="AN130" s="399"/>
      <c r="AO130" s="399"/>
      <c r="AP130" s="399"/>
      <c r="AQ130" s="399"/>
      <c r="AR130" s="399"/>
      <c r="AS130" s="399"/>
      <c r="AT130" s="399"/>
      <c r="AU130" s="399"/>
      <c r="AV130" s="399"/>
      <c r="AW130" s="399"/>
      <c r="AX130" s="399"/>
      <c r="AY130" s="399"/>
      <c r="AZ130" s="399"/>
      <c r="BA130" s="399"/>
      <c r="BB130" s="399"/>
      <c r="BC130" s="399"/>
      <c r="BD130" s="399"/>
      <c r="BE130" s="399"/>
      <c r="BF130" s="399"/>
      <c r="BG130" s="399"/>
      <c r="BH130" s="399"/>
      <c r="BI130" s="399"/>
    </row>
    <row r="131" spans="1:61">
      <c r="A131" s="854" t="s">
        <v>211</v>
      </c>
      <c r="B131" s="403" t="s">
        <v>208</v>
      </c>
      <c r="C131" s="409"/>
      <c r="D131" s="409"/>
      <c r="E131" s="409"/>
      <c r="F131" s="409"/>
      <c r="G131" s="409"/>
      <c r="H131" s="409"/>
      <c r="I131" s="409"/>
      <c r="J131" s="409"/>
      <c r="K131" s="409"/>
      <c r="L131" s="409"/>
      <c r="M131" s="409"/>
      <c r="N131" s="409"/>
      <c r="O131" s="409"/>
      <c r="P131" s="410"/>
      <c r="Q131" s="417">
        <f>AVERAGE(U49:U50)*$B$98*$Q$101*$Q$105/100</f>
        <v>0.95355953759056433</v>
      </c>
      <c r="R131" s="414">
        <f>Q131*Indeksacja!R$61</f>
        <v>1.0123134425487266</v>
      </c>
      <c r="S131" s="407">
        <f>R131*Indeksacja!S$61</f>
        <v>1.0770845877520303</v>
      </c>
      <c r="T131" s="407">
        <f>S131*Indeksacja!T$61</f>
        <v>1.1415538580701892</v>
      </c>
      <c r="U131" s="407">
        <f>T131*Indeksacja!U$61</f>
        <v>1.1613350451362183</v>
      </c>
      <c r="V131" s="407">
        <f>U131*Indeksacja!V$61</f>
        <v>1.2882597391730866</v>
      </c>
      <c r="W131" s="407">
        <f>V131*Indeksacja!W$61</f>
        <v>1.5400412014221565</v>
      </c>
      <c r="X131" s="407">
        <f>W131*Indeksacja!X$61</f>
        <v>1.718360334616776</v>
      </c>
      <c r="Y131" s="407">
        <f>X131*Indeksacja!Y$61</f>
        <v>1.7654591741211818</v>
      </c>
      <c r="Z131" s="407">
        <f>Y131*Indeksacja!Z$61</f>
        <v>1.8224088894396224</v>
      </c>
      <c r="AA131" s="407">
        <f>Z131*Indeksacja!AA$61</f>
        <v>1.876966975546676</v>
      </c>
      <c r="AB131" s="407">
        <f>AA131*Indeksacja!AB$61</f>
        <v>1.9234266377314289</v>
      </c>
      <c r="AC131" s="407">
        <f>AB131*Indeksacja!AC$61</f>
        <v>1.9712033356027736</v>
      </c>
      <c r="AD131" s="407">
        <f>AC131*Indeksacja!AD$61</f>
        <v>2.018880400722658</v>
      </c>
      <c r="AE131" s="407">
        <f>AD131*Indeksacja!AE$61</f>
        <v>2.0663601610383191</v>
      </c>
      <c r="AF131" s="407">
        <f>AE131*Indeksacja!AF$61</f>
        <v>2.1109174540992774</v>
      </c>
      <c r="AG131" s="407">
        <f>AF131*Indeksacja!AG$61</f>
        <v>2.1537400607378725</v>
      </c>
      <c r="AH131" s="407">
        <f>AG131*Indeksacja!AH$61</f>
        <v>2.1980420002697962</v>
      </c>
      <c r="AI131" s="407">
        <f>AH131*Indeksacja!AI$61</f>
        <v>2.2436230091487954</v>
      </c>
      <c r="AJ131" s="407">
        <f>AI131*Indeksacja!AJ$61</f>
        <v>2.2869048792281217</v>
      </c>
      <c r="AK131" s="407">
        <f>AJ131*Indeksacja!AK$61</f>
        <v>2.3295053839349205</v>
      </c>
      <c r="AL131" s="407">
        <f>AK131*Indeksacja!AL$61</f>
        <v>2.3712004498847494</v>
      </c>
      <c r="AM131" s="407">
        <f>AL131*Indeksacja!AM$61</f>
        <v>2.412006007646966</v>
      </c>
      <c r="AN131" s="407">
        <f>AM131*Indeksacja!AN$61</f>
        <v>2.4498611868965803</v>
      </c>
      <c r="AO131" s="407">
        <f>AN131*Indeksacja!AO$61</f>
        <v>2.4845596927100719</v>
      </c>
      <c r="AP131" s="407">
        <f>AO131*Indeksacja!AP$61</f>
        <v>2.5179263174191684</v>
      </c>
      <c r="AQ131" s="407">
        <f>AP131*Indeksacja!AQ$61</f>
        <v>2.5478474123750985</v>
      </c>
      <c r="AR131" s="407">
        <f>AQ131*Indeksacja!AR$61</f>
        <v>2.5760958788480588</v>
      </c>
      <c r="AS131" s="407">
        <f>AR131*Indeksacja!AS$61</f>
        <v>2.6048072233589399</v>
      </c>
      <c r="AT131" s="407">
        <f>AS131*Indeksacja!AT$61</f>
        <v>2.6341443418004684</v>
      </c>
      <c r="AU131" s="407">
        <f>AT131*Indeksacja!AU$61</f>
        <v>2.6639526821497075</v>
      </c>
      <c r="AV131" s="407">
        <f>AU131*Indeksacja!AV$61</f>
        <v>2.6942372561138699</v>
      </c>
      <c r="AW131" s="407">
        <f>AV131*Indeksacja!AW$61</f>
        <v>2.7250343426669685</v>
      </c>
      <c r="AX131" s="407">
        <f>AW131*Indeksacja!AX$61</f>
        <v>2.7540352120910407</v>
      </c>
      <c r="AY131" s="407">
        <f>AX131*Indeksacja!AY$61</f>
        <v>2.7835478552854362</v>
      </c>
      <c r="AZ131" s="407">
        <f>AY131*Indeksacja!AZ$61</f>
        <v>2.8136020072386847</v>
      </c>
      <c r="BA131" s="407">
        <f>AZ131*Indeksacja!BA$61</f>
        <v>2.8444168031940151</v>
      </c>
      <c r="BB131" s="407">
        <f>BA131*Indeksacja!BB$61</f>
        <v>2.8781249599113039</v>
      </c>
      <c r="BC131" s="407">
        <f>BB131*Indeksacja!BC$61</f>
        <v>2.9125274223937425</v>
      </c>
      <c r="BD131" s="407">
        <f>BC131*Indeksacja!BD$61</f>
        <v>2.9476721276388052</v>
      </c>
      <c r="BE131" s="407">
        <f>BD131*Indeksacja!BE$61</f>
        <v>2.9835722019757567</v>
      </c>
      <c r="BF131" s="407">
        <f>BE131*Indeksacja!BF$61</f>
        <v>3.0226514094239887</v>
      </c>
      <c r="BG131" s="407">
        <f>BF131*Indeksacja!BG$61</f>
        <v>3.0627977390038192</v>
      </c>
      <c r="BH131" s="407">
        <f>BG131*Indeksacja!BH$61</f>
        <v>3.1038376275399693</v>
      </c>
      <c r="BI131" s="407">
        <f>BH131*Indeksacja!BI$61</f>
        <v>3.1481114977139995</v>
      </c>
    </row>
    <row r="132" spans="1:61">
      <c r="A132" s="854"/>
      <c r="B132" s="404" t="s">
        <v>209</v>
      </c>
      <c r="C132" s="411"/>
      <c r="D132" s="411"/>
      <c r="E132" s="411"/>
      <c r="F132" s="411"/>
      <c r="G132" s="411"/>
      <c r="H132" s="411"/>
      <c r="I132" s="411"/>
      <c r="J132" s="411"/>
      <c r="K132" s="411"/>
      <c r="L132" s="411"/>
      <c r="M132" s="411"/>
      <c r="N132" s="411"/>
      <c r="O132" s="411"/>
      <c r="P132" s="412"/>
      <c r="Q132" s="418">
        <f>AVERAGE(U51:U52)*$B$98*$Q$101*$Q$105/100</f>
        <v>1.7363931409650735</v>
      </c>
      <c r="R132" s="415">
        <f>Q132*Indeksacja!R$61</f>
        <v>1.8433816126362272</v>
      </c>
      <c r="S132" s="408">
        <f>R132*Indeksacja!S$61</f>
        <v>1.9613272340996253</v>
      </c>
      <c r="T132" s="408">
        <f>S132*Indeksacja!T$61</f>
        <v>2.0787231536730713</v>
      </c>
      <c r="U132" s="408">
        <f>T132*Indeksacja!U$61</f>
        <v>2.114743890908199</v>
      </c>
      <c r="V132" s="408">
        <f>U132*Indeksacja!V$61</f>
        <v>2.3458685972915978</v>
      </c>
      <c r="W132" s="408">
        <f>V132*Indeksacja!W$61</f>
        <v>2.8043524012249406</v>
      </c>
      <c r="X132" s="408">
        <f>W132*Indeksacja!X$61</f>
        <v>3.1290642913333935</v>
      </c>
      <c r="Y132" s="408">
        <f>X132*Indeksacja!Y$61</f>
        <v>3.2148293627724676</v>
      </c>
      <c r="Z132" s="408">
        <f>Y132*Indeksacja!Z$61</f>
        <v>3.318532478477985</v>
      </c>
      <c r="AA132" s="408">
        <f>Z132*Indeksacja!AA$61</f>
        <v>3.4178805346463945</v>
      </c>
      <c r="AB132" s="408">
        <f>AA132*Indeksacja!AB$61</f>
        <v>3.502481690178854</v>
      </c>
      <c r="AC132" s="408">
        <f>AB132*Indeksacja!AC$61</f>
        <v>3.5894811141386658</v>
      </c>
      <c r="AD132" s="408">
        <f>AC132*Indeksacja!AD$61</f>
        <v>3.6762991109096852</v>
      </c>
      <c r="AE132" s="408">
        <f>AD132*Indeksacja!AE$61</f>
        <v>3.7627578236557149</v>
      </c>
      <c r="AF132" s="408">
        <f>AE132*Indeksacja!AF$61</f>
        <v>3.84389484237456</v>
      </c>
      <c r="AG132" s="408">
        <f>AF132*Indeksacja!AG$61</f>
        <v>3.9218730676601941</v>
      </c>
      <c r="AH132" s="408">
        <f>AG132*Indeksacja!AH$61</f>
        <v>4.002545097986749</v>
      </c>
      <c r="AI132" s="408">
        <f>AH132*Indeksacja!AI$61</f>
        <v>4.0855462615803173</v>
      </c>
      <c r="AJ132" s="408">
        <f>AI132*Indeksacja!AJ$61</f>
        <v>4.1643607869153394</v>
      </c>
      <c r="AK132" s="408">
        <f>AJ132*Indeksacja!AK$61</f>
        <v>4.2419345736150609</v>
      </c>
      <c r="AL132" s="408">
        <f>AK132*Indeksacja!AL$61</f>
        <v>4.317859593158472</v>
      </c>
      <c r="AM132" s="408">
        <f>AL132*Indeksacja!AM$61</f>
        <v>4.3921648544645473</v>
      </c>
      <c r="AN132" s="408">
        <f>AM132*Indeksacja!AN$61</f>
        <v>4.4610975964778277</v>
      </c>
      <c r="AO132" s="408">
        <f>AN132*Indeksacja!AO$61</f>
        <v>4.5242821645316722</v>
      </c>
      <c r="AP132" s="408">
        <f>AO132*Indeksacja!AP$61</f>
        <v>4.585041431256041</v>
      </c>
      <c r="AQ132" s="408">
        <f>AP132*Indeksacja!AQ$61</f>
        <v>4.6395265284141267</v>
      </c>
      <c r="AR132" s="408">
        <f>AQ132*Indeksacja!AR$61</f>
        <v>4.6909658371230201</v>
      </c>
      <c r="AS132" s="408">
        <f>AR132*Indeksacja!AS$61</f>
        <v>4.7432480279157945</v>
      </c>
      <c r="AT132" s="408">
        <f>AS132*Indeksacja!AT$61</f>
        <v>4.7966697275888599</v>
      </c>
      <c r="AU132" s="408">
        <f>AT132*Indeksacja!AU$61</f>
        <v>4.8509495031933856</v>
      </c>
      <c r="AV132" s="408">
        <f>AU132*Indeksacja!AV$61</f>
        <v>4.9060964808444023</v>
      </c>
      <c r="AW132" s="408">
        <f>AV132*Indeksacja!AW$61</f>
        <v>4.9621767230782847</v>
      </c>
      <c r="AX132" s="408">
        <f>AW132*Indeksacja!AX$61</f>
        <v>5.0149861269642999</v>
      </c>
      <c r="AY132" s="408">
        <f>AX132*Indeksacja!AY$61</f>
        <v>5.0687274500745323</v>
      </c>
      <c r="AZ132" s="408">
        <f>AY132*Indeksacja!AZ$61</f>
        <v>5.1234548386139043</v>
      </c>
      <c r="BA132" s="408">
        <f>AZ132*Indeksacja!BA$61</f>
        <v>5.1795673289490898</v>
      </c>
      <c r="BB132" s="408">
        <f>BA132*Indeksacja!BB$61</f>
        <v>5.2409485115718031</v>
      </c>
      <c r="BC132" s="408">
        <f>BB132*Indeksacja!BC$61</f>
        <v>5.3035939967585541</v>
      </c>
      <c r="BD132" s="408">
        <f>BC132*Indeksacja!BD$61</f>
        <v>5.3675910758323608</v>
      </c>
      <c r="BE132" s="408">
        <f>BD132*Indeksacja!BE$61</f>
        <v>5.4329636513050259</v>
      </c>
      <c r="BF132" s="408">
        <f>BE132*Indeksacja!BF$61</f>
        <v>5.5041252988922551</v>
      </c>
      <c r="BG132" s="408">
        <f>BF132*Indeksacja!BG$61</f>
        <v>5.5772301324860569</v>
      </c>
      <c r="BH132" s="408">
        <f>BG132*Indeksacja!BH$61</f>
        <v>5.651962100602284</v>
      </c>
      <c r="BI132" s="408">
        <f>BH132*Indeksacja!BI$61</f>
        <v>5.7325830177695698</v>
      </c>
    </row>
    <row r="133" spans="1:61">
      <c r="A133" s="854"/>
      <c r="B133" s="402" t="s">
        <v>227</v>
      </c>
      <c r="C133" s="377"/>
      <c r="D133" s="377"/>
      <c r="E133" s="377"/>
      <c r="F133" s="377"/>
      <c r="G133" s="377"/>
      <c r="H133" s="377"/>
      <c r="I133" s="377"/>
      <c r="J133" s="377"/>
      <c r="K133" s="377"/>
      <c r="L133" s="377"/>
      <c r="M133" s="377"/>
      <c r="N133" s="377"/>
      <c r="O133" s="377"/>
      <c r="P133" s="413"/>
      <c r="Q133" s="374">
        <f>Q131*$B$90+Q132*$B$91</f>
        <v>1.0709845780967406</v>
      </c>
      <c r="R133" s="374">
        <f>R131*$B$90+R132*$B$91</f>
        <v>1.1369736680618516</v>
      </c>
      <c r="S133" s="374">
        <f t="shared" ref="S133:BI133" si="58">S131*$B$90+S132*$B$91</f>
        <v>1.2097209847041697</v>
      </c>
      <c r="T133" s="374">
        <f t="shared" si="58"/>
        <v>1.2821292524106216</v>
      </c>
      <c r="U133" s="374">
        <f t="shared" si="58"/>
        <v>1.3043463720020154</v>
      </c>
      <c r="V133" s="374">
        <f t="shared" si="58"/>
        <v>1.4469010678908631</v>
      </c>
      <c r="W133" s="374">
        <f t="shared" si="58"/>
        <v>1.7296878813925742</v>
      </c>
      <c r="X133" s="374">
        <f t="shared" si="58"/>
        <v>1.9299659281242687</v>
      </c>
      <c r="Y133" s="374">
        <f t="shared" si="58"/>
        <v>1.9828647024188748</v>
      </c>
      <c r="Z133" s="374">
        <f t="shared" si="58"/>
        <v>2.0468274277953769</v>
      </c>
      <c r="AA133" s="374">
        <f t="shared" si="58"/>
        <v>2.1081040094116337</v>
      </c>
      <c r="AB133" s="374">
        <f t="shared" si="58"/>
        <v>2.1602848955985428</v>
      </c>
      <c r="AC133" s="374">
        <f t="shared" si="58"/>
        <v>2.2139450023831575</v>
      </c>
      <c r="AD133" s="374">
        <f t="shared" si="58"/>
        <v>2.2674932072507121</v>
      </c>
      <c r="AE133" s="374">
        <f t="shared" si="58"/>
        <v>2.3208198104309288</v>
      </c>
      <c r="AF133" s="374">
        <f t="shared" si="58"/>
        <v>2.3708640623405697</v>
      </c>
      <c r="AG133" s="374">
        <f t="shared" si="58"/>
        <v>2.4189600117762207</v>
      </c>
      <c r="AH133" s="374">
        <f t="shared" si="58"/>
        <v>2.4687174649273391</v>
      </c>
      <c r="AI133" s="374">
        <f t="shared" si="58"/>
        <v>2.5199114970135237</v>
      </c>
      <c r="AJ133" s="374">
        <f t="shared" si="58"/>
        <v>2.5685232653812045</v>
      </c>
      <c r="AK133" s="374">
        <f t="shared" si="58"/>
        <v>2.6163697623869417</v>
      </c>
      <c r="AL133" s="374">
        <f t="shared" si="58"/>
        <v>2.6631993213758083</v>
      </c>
      <c r="AM133" s="374">
        <f t="shared" si="58"/>
        <v>2.7090298346696029</v>
      </c>
      <c r="AN133" s="374">
        <f t="shared" si="58"/>
        <v>2.7515466483337674</v>
      </c>
      <c r="AO133" s="374">
        <f t="shared" si="58"/>
        <v>2.790518063483312</v>
      </c>
      <c r="AP133" s="374">
        <f t="shared" si="58"/>
        <v>2.8279935844946995</v>
      </c>
      <c r="AQ133" s="374">
        <f t="shared" si="58"/>
        <v>2.8615992797809531</v>
      </c>
      <c r="AR133" s="374">
        <f t="shared" si="58"/>
        <v>2.893326372589303</v>
      </c>
      <c r="AS133" s="374">
        <f t="shared" si="58"/>
        <v>2.9255733440424683</v>
      </c>
      <c r="AT133" s="374">
        <f t="shared" si="58"/>
        <v>2.9585231496687272</v>
      </c>
      <c r="AU133" s="374">
        <f t="shared" si="58"/>
        <v>2.9920022053062594</v>
      </c>
      <c r="AV133" s="374">
        <f t="shared" si="58"/>
        <v>3.02601613982345</v>
      </c>
      <c r="AW133" s="374">
        <f t="shared" si="58"/>
        <v>3.0606056997286664</v>
      </c>
      <c r="AX133" s="374">
        <f t="shared" si="58"/>
        <v>3.0931778493220294</v>
      </c>
      <c r="AY133" s="374">
        <f t="shared" si="58"/>
        <v>3.1263247945038004</v>
      </c>
      <c r="AZ133" s="374">
        <f t="shared" si="58"/>
        <v>3.1600799319449675</v>
      </c>
      <c r="BA133" s="374">
        <f t="shared" si="58"/>
        <v>3.1946893820572764</v>
      </c>
      <c r="BB133" s="374">
        <f t="shared" si="58"/>
        <v>3.2325484926603787</v>
      </c>
      <c r="BC133" s="374">
        <f t="shared" si="58"/>
        <v>3.2711874085484642</v>
      </c>
      <c r="BD133" s="374">
        <f t="shared" si="58"/>
        <v>3.3106599698678387</v>
      </c>
      <c r="BE133" s="374">
        <f t="shared" si="58"/>
        <v>3.3509809193751474</v>
      </c>
      <c r="BF133" s="374">
        <f t="shared" si="58"/>
        <v>3.3948724928442284</v>
      </c>
      <c r="BG133" s="374">
        <f t="shared" si="58"/>
        <v>3.4399625980261552</v>
      </c>
      <c r="BH133" s="374">
        <f t="shared" si="58"/>
        <v>3.4860562984993164</v>
      </c>
      <c r="BI133" s="374">
        <f t="shared" si="58"/>
        <v>3.5357822257223352</v>
      </c>
    </row>
    <row r="134" spans="1:61">
      <c r="A134" s="854" t="s">
        <v>212</v>
      </c>
      <c r="B134" s="403" t="s">
        <v>208</v>
      </c>
      <c r="C134" s="409"/>
      <c r="D134" s="409"/>
      <c r="E134" s="409"/>
      <c r="F134" s="409"/>
      <c r="G134" s="409"/>
      <c r="H134" s="409"/>
      <c r="I134" s="409"/>
      <c r="J134" s="409"/>
      <c r="K134" s="409"/>
      <c r="L134" s="409"/>
      <c r="M134" s="409"/>
      <c r="N134" s="409"/>
      <c r="O134" s="409"/>
      <c r="P134" s="410"/>
      <c r="Q134" s="417">
        <f>AVERAGE(U53:U54)*$B$98*$Q$101*$Q$105/100</f>
        <v>1.3464153346623462</v>
      </c>
      <c r="R134" s="414">
        <f>Q134*Indeksacja!R$61</f>
        <v>1.4293751871817284</v>
      </c>
      <c r="S134" s="407">
        <f>R134*Indeksacja!S$61</f>
        <v>1.5208313152025621</v>
      </c>
      <c r="T134" s="407">
        <f>S134*Indeksacja!T$61</f>
        <v>1.6118611992832057</v>
      </c>
      <c r="U134" s="407">
        <f>T134*Indeksacja!U$61</f>
        <v>1.639792012781043</v>
      </c>
      <c r="V134" s="407">
        <f>U134*Indeksacja!V$61</f>
        <v>1.8190082522099684</v>
      </c>
      <c r="W134" s="407">
        <f>V134*Indeksacja!W$61</f>
        <v>2.1745208430781182</v>
      </c>
      <c r="X134" s="407">
        <f>W134*Indeksacja!X$61</f>
        <v>2.4263054521478278</v>
      </c>
      <c r="Y134" s="407">
        <f>X134*Indeksacja!Y$61</f>
        <v>2.492808483425526</v>
      </c>
      <c r="Z134" s="407">
        <f>Y134*Indeksacja!Z$61</f>
        <v>2.5732208404799706</v>
      </c>
      <c r="AA134" s="407">
        <f>Z134*Indeksacja!AA$61</f>
        <v>2.6502562440059818</v>
      </c>
      <c r="AB134" s="407">
        <f>AA134*Indeksacja!AB$61</f>
        <v>2.7158567641023397</v>
      </c>
      <c r="AC134" s="407">
        <f>AB134*Indeksacja!AC$61</f>
        <v>2.7833169237647866</v>
      </c>
      <c r="AD134" s="407">
        <f>AC134*Indeksacja!AD$61</f>
        <v>2.8506364031035485</v>
      </c>
      <c r="AE134" s="407">
        <f>AD134*Indeksacja!AE$61</f>
        <v>2.9176772902794341</v>
      </c>
      <c r="AF134" s="407">
        <f>AE134*Indeksacja!AF$61</f>
        <v>2.9805916865843645</v>
      </c>
      <c r="AG134" s="407">
        <f>AF134*Indeksacja!AG$61</f>
        <v>3.0410567251850007</v>
      </c>
      <c r="AH134" s="407">
        <f>AG134*Indeksacja!AH$61</f>
        <v>3.1036105651809653</v>
      </c>
      <c r="AI134" s="407">
        <f>AH134*Indeksacja!AI$61</f>
        <v>3.1679704366989365</v>
      </c>
      <c r="AJ134" s="407">
        <f>AI134*Indeksacja!AJ$61</f>
        <v>3.2290839501088251</v>
      </c>
      <c r="AK134" s="407">
        <f>AJ134*Indeksacja!AK$61</f>
        <v>3.2892353832815457</v>
      </c>
      <c r="AL134" s="407">
        <f>AK134*Indeksacja!AL$61</f>
        <v>3.3481083471202364</v>
      </c>
      <c r="AM134" s="407">
        <f>AL134*Indeksacja!AM$61</f>
        <v>3.4057253354095285</v>
      </c>
      <c r="AN134" s="407">
        <f>AM134*Indeksacja!AN$61</f>
        <v>3.459176422445855</v>
      </c>
      <c r="AO134" s="407">
        <f>AN134*Indeksacja!AO$61</f>
        <v>3.5081703221190765</v>
      </c>
      <c r="AP134" s="407">
        <f>AO134*Indeksacja!AP$61</f>
        <v>3.5552836206633578</v>
      </c>
      <c r="AQ134" s="407">
        <f>AP134*Indeksacja!AQ$61</f>
        <v>3.5975318699759771</v>
      </c>
      <c r="AR134" s="407">
        <f>AQ134*Indeksacja!AR$61</f>
        <v>3.6374183866962579</v>
      </c>
      <c r="AS134" s="407">
        <f>AR134*Indeksacja!AS$61</f>
        <v>3.6779584819963405</v>
      </c>
      <c r="AT134" s="407">
        <f>AS134*Indeksacja!AT$61</f>
        <v>3.7193821630433441</v>
      </c>
      <c r="AU134" s="407">
        <f>AT134*Indeksacja!AU$61</f>
        <v>3.7614712041203817</v>
      </c>
      <c r="AV134" s="407">
        <f>AU134*Indeksacja!AV$61</f>
        <v>3.8042326817016296</v>
      </c>
      <c r="AW134" s="407">
        <f>AV134*Indeksacja!AW$61</f>
        <v>3.8477178212900713</v>
      </c>
      <c r="AX134" s="407">
        <f>AW134*Indeksacja!AX$61</f>
        <v>3.8886667225089453</v>
      </c>
      <c r="AY134" s="407">
        <f>AX134*Indeksacja!AY$61</f>
        <v>3.9303382425314468</v>
      </c>
      <c r="AZ134" s="407">
        <f>AY134*Indeksacja!AZ$61</f>
        <v>3.9727743668267088</v>
      </c>
      <c r="BA134" s="407">
        <f>AZ134*Indeksacja!BA$61</f>
        <v>4.0162845118917812</v>
      </c>
      <c r="BB134" s="407">
        <f>BA134*Indeksacja!BB$61</f>
        <v>4.0638800497876506</v>
      </c>
      <c r="BC134" s="407">
        <f>BB134*Indeksacja!BC$61</f>
        <v>4.1124559396094247</v>
      </c>
      <c r="BD134" s="407">
        <f>BC134*Indeksacja!BD$61</f>
        <v>4.1620798678580018</v>
      </c>
      <c r="BE134" s="407">
        <f>BD134*Indeksacja!BE$61</f>
        <v>4.2127703687625653</v>
      </c>
      <c r="BF134" s="407">
        <f>BE134*Indeksacja!BF$61</f>
        <v>4.2679497698387703</v>
      </c>
      <c r="BG134" s="407">
        <f>BF134*Indeksacja!BG$61</f>
        <v>4.3246359353542179</v>
      </c>
      <c r="BH134" s="407">
        <f>BG134*Indeksacja!BH$61</f>
        <v>4.3825837960588858</v>
      </c>
      <c r="BI134" s="407">
        <f>BH134*Indeksacja!BI$61</f>
        <v>4.4450980024374287</v>
      </c>
    </row>
    <row r="135" spans="1:61">
      <c r="A135" s="854"/>
      <c r="B135" s="404" t="s">
        <v>209</v>
      </c>
      <c r="C135" s="411"/>
      <c r="D135" s="411"/>
      <c r="E135" s="411"/>
      <c r="F135" s="411"/>
      <c r="G135" s="411"/>
      <c r="H135" s="411"/>
      <c r="I135" s="411"/>
      <c r="J135" s="411"/>
      <c r="K135" s="411"/>
      <c r="L135" s="411"/>
      <c r="M135" s="411"/>
      <c r="N135" s="411"/>
      <c r="O135" s="411"/>
      <c r="P135" s="412"/>
      <c r="Q135" s="418">
        <f>AVERAGE(U55:U56)*$B$98*$Q$101*$Q$105/100</f>
        <v>2.7948072623153108</v>
      </c>
      <c r="R135" s="415">
        <f>Q135*Indeksacja!R$61</f>
        <v>2.9670102908554763</v>
      </c>
      <c r="S135" s="408">
        <f>R135*Indeksacja!S$61</f>
        <v>3.1568493725976379</v>
      </c>
      <c r="T135" s="408">
        <f>S135*Indeksacja!T$61</f>
        <v>3.3458036830297195</v>
      </c>
      <c r="U135" s="408">
        <f>T135*Indeksacja!U$61</f>
        <v>3.4037807710771504</v>
      </c>
      <c r="V135" s="408">
        <f>U135*Indeksacja!V$61</f>
        <v>3.7757869675205455</v>
      </c>
      <c r="W135" s="408">
        <f>V135*Indeksacja!W$61</f>
        <v>4.5137384340730327</v>
      </c>
      <c r="X135" s="408">
        <f>W135*Indeksacja!X$61</f>
        <v>5.0363776493666679</v>
      </c>
      <c r="Y135" s="408">
        <f>X135*Indeksacja!Y$61</f>
        <v>5.1744206068375167</v>
      </c>
      <c r="Z135" s="408">
        <f>Y135*Indeksacja!Z$61</f>
        <v>5.3413356988525766</v>
      </c>
      <c r="AA135" s="408">
        <f>Z135*Indeksacja!AA$61</f>
        <v>5.5012411156190009</v>
      </c>
      <c r="AB135" s="408">
        <f>AA135*Indeksacja!AB$61</f>
        <v>5.6374106951365581</v>
      </c>
      <c r="AC135" s="408">
        <f>AB135*Indeksacja!AC$61</f>
        <v>5.7774404016378131</v>
      </c>
      <c r="AD135" s="408">
        <f>AC135*Indeksacja!AD$61</f>
        <v>5.9171780924584843</v>
      </c>
      <c r="AE135" s="408">
        <f>AD135*Indeksacja!AE$61</f>
        <v>6.056337498570131</v>
      </c>
      <c r="AF135" s="408">
        <f>AE135*Indeksacja!AF$61</f>
        <v>6.1869313852932777</v>
      </c>
      <c r="AG135" s="408">
        <f>AF135*Indeksacja!AG$61</f>
        <v>6.3124410439006731</v>
      </c>
      <c r="AH135" s="408">
        <f>AG135*Indeksacja!AH$61</f>
        <v>6.4422865097132522</v>
      </c>
      <c r="AI135" s="408">
        <f>AH135*Indeksacja!AI$61</f>
        <v>6.5758808261841164</v>
      </c>
      <c r="AJ135" s="408">
        <f>AI135*Indeksacja!AJ$61</f>
        <v>6.7027365494564561</v>
      </c>
      <c r="AK135" s="408">
        <f>AJ135*Indeksacja!AK$61</f>
        <v>6.8275952449435753</v>
      </c>
      <c r="AL135" s="408">
        <f>AK135*Indeksacja!AL$61</f>
        <v>6.9498001713540889</v>
      </c>
      <c r="AM135" s="408">
        <f>AL135*Indeksacja!AM$61</f>
        <v>7.0693980199213984</v>
      </c>
      <c r="AN135" s="408">
        <f>AM135*Indeksacja!AN$61</f>
        <v>7.1803485434203269</v>
      </c>
      <c r="AO135" s="408">
        <f>AN135*Indeksacja!AO$61</f>
        <v>7.2820471078162869</v>
      </c>
      <c r="AP135" s="408">
        <f>AO135*Indeksacja!AP$61</f>
        <v>7.3798420344881572</v>
      </c>
      <c r="AQ135" s="408">
        <f>AP135*Indeksacja!AQ$61</f>
        <v>7.4675383871360035</v>
      </c>
      <c r="AR135" s="408">
        <f>AQ135*Indeksacja!AR$61</f>
        <v>7.5503323985591262</v>
      </c>
      <c r="AS135" s="408">
        <f>AR135*Indeksacja!AS$61</f>
        <v>7.6344830687444443</v>
      </c>
      <c r="AT135" s="408">
        <f>AS135*Indeksacja!AT$61</f>
        <v>7.720467832614526</v>
      </c>
      <c r="AU135" s="408">
        <f>AT135*Indeksacja!AU$61</f>
        <v>7.8078337104663929</v>
      </c>
      <c r="AV135" s="408">
        <f>AU135*Indeksacja!AV$61</f>
        <v>7.8965953912157998</v>
      </c>
      <c r="AW135" s="408">
        <f>AV135*Indeksacja!AW$61</f>
        <v>7.9868592056538974</v>
      </c>
      <c r="AX135" s="408">
        <f>AW135*Indeksacja!AX$61</f>
        <v>8.0718584503624715</v>
      </c>
      <c r="AY135" s="408">
        <f>AX135*Indeksacja!AY$61</f>
        <v>8.1583576633410679</v>
      </c>
      <c r="AZ135" s="408">
        <f>AY135*Indeksacja!AZ$61</f>
        <v>8.2464439954791793</v>
      </c>
      <c r="BA135" s="408">
        <f>AZ135*Indeksacja!BA$61</f>
        <v>8.3367597147685402</v>
      </c>
      <c r="BB135" s="408">
        <f>BA135*Indeksacja!BB$61</f>
        <v>8.4355556446281312</v>
      </c>
      <c r="BC135" s="408">
        <f>BB135*Indeksacja!BC$61</f>
        <v>8.5363865295358483</v>
      </c>
      <c r="BD135" s="408">
        <f>BC135*Indeksacja!BD$61</f>
        <v>8.6393928690235953</v>
      </c>
      <c r="BE135" s="408">
        <f>BD135*Indeksacja!BE$61</f>
        <v>8.7446131353198062</v>
      </c>
      <c r="BF135" s="408">
        <f>BE135*Indeksacja!BF$61</f>
        <v>8.8591511882428744</v>
      </c>
      <c r="BG135" s="408">
        <f>BF135*Indeksacja!BG$61</f>
        <v>8.9768168913708841</v>
      </c>
      <c r="BH135" s="408">
        <f>BG135*Indeksacja!BH$61</f>
        <v>9.0971015448234223</v>
      </c>
      <c r="BI135" s="408">
        <f>BH135*Indeksacja!BI$61</f>
        <v>9.2268647415775984</v>
      </c>
    </row>
    <row r="136" spans="1:61">
      <c r="A136" s="854"/>
      <c r="B136" s="402" t="s">
        <v>227</v>
      </c>
      <c r="C136" s="377"/>
      <c r="D136" s="377"/>
      <c r="E136" s="377"/>
      <c r="F136" s="377"/>
      <c r="G136" s="377"/>
      <c r="H136" s="377"/>
      <c r="I136" s="377"/>
      <c r="J136" s="377"/>
      <c r="K136" s="377"/>
      <c r="L136" s="377"/>
      <c r="M136" s="377"/>
      <c r="N136" s="377"/>
      <c r="O136" s="377"/>
      <c r="P136" s="413"/>
      <c r="Q136" s="374">
        <f>Q134*$B$90+Q135*$B$91</f>
        <v>1.5636741238102909</v>
      </c>
      <c r="R136" s="374">
        <f>R134*$B$90+R135*$B$91</f>
        <v>1.6600204527327906</v>
      </c>
      <c r="S136" s="374">
        <f t="shared" ref="S136:BI136" si="59">S134*$B$90+S135*$B$91</f>
        <v>1.7662340238118235</v>
      </c>
      <c r="T136" s="374">
        <f t="shared" si="59"/>
        <v>1.8719525718451828</v>
      </c>
      <c r="U136" s="374">
        <f t="shared" si="59"/>
        <v>1.9043903265254594</v>
      </c>
      <c r="V136" s="374">
        <f t="shared" si="59"/>
        <v>2.112525059506555</v>
      </c>
      <c r="W136" s="374">
        <f t="shared" si="59"/>
        <v>2.5254034817273556</v>
      </c>
      <c r="X136" s="374">
        <f t="shared" si="59"/>
        <v>2.817816281730654</v>
      </c>
      <c r="Y136" s="374">
        <f t="shared" si="59"/>
        <v>2.8950503019373244</v>
      </c>
      <c r="Z136" s="374">
        <f t="shared" si="59"/>
        <v>2.9884380692358619</v>
      </c>
      <c r="AA136" s="374">
        <f t="shared" si="59"/>
        <v>3.0779039747479349</v>
      </c>
      <c r="AB136" s="374">
        <f t="shared" si="59"/>
        <v>3.1540898537574726</v>
      </c>
      <c r="AC136" s="374">
        <f t="shared" si="59"/>
        <v>3.2324354454457405</v>
      </c>
      <c r="AD136" s="374">
        <f t="shared" si="59"/>
        <v>3.3106176565067886</v>
      </c>
      <c r="AE136" s="374">
        <f t="shared" si="59"/>
        <v>3.3884763215230391</v>
      </c>
      <c r="AF136" s="374">
        <f t="shared" si="59"/>
        <v>3.4615426413907016</v>
      </c>
      <c r="AG136" s="374">
        <f t="shared" si="59"/>
        <v>3.5317643729923516</v>
      </c>
      <c r="AH136" s="374">
        <f t="shared" si="59"/>
        <v>3.6044119568608082</v>
      </c>
      <c r="AI136" s="374">
        <f t="shared" si="59"/>
        <v>3.6791569951217138</v>
      </c>
      <c r="AJ136" s="374">
        <f t="shared" si="59"/>
        <v>3.7501318400109698</v>
      </c>
      <c r="AK136" s="374">
        <f t="shared" si="59"/>
        <v>3.8199893625308503</v>
      </c>
      <c r="AL136" s="374">
        <f t="shared" si="59"/>
        <v>3.8883621207553141</v>
      </c>
      <c r="AM136" s="374">
        <f t="shared" si="59"/>
        <v>3.9552762380863093</v>
      </c>
      <c r="AN136" s="374">
        <f t="shared" si="59"/>
        <v>4.0173522405920261</v>
      </c>
      <c r="AO136" s="374">
        <f t="shared" si="59"/>
        <v>4.074251839973658</v>
      </c>
      <c r="AP136" s="374">
        <f t="shared" si="59"/>
        <v>4.1289673827370779</v>
      </c>
      <c r="AQ136" s="374">
        <f t="shared" si="59"/>
        <v>4.1780328475499813</v>
      </c>
      <c r="AR136" s="374">
        <f t="shared" si="59"/>
        <v>4.2243554884756875</v>
      </c>
      <c r="AS136" s="374">
        <f t="shared" si="59"/>
        <v>4.2714371700085563</v>
      </c>
      <c r="AT136" s="374">
        <f t="shared" si="59"/>
        <v>4.3195450134790212</v>
      </c>
      <c r="AU136" s="374">
        <f t="shared" si="59"/>
        <v>4.3684255800722838</v>
      </c>
      <c r="AV136" s="374">
        <f t="shared" si="59"/>
        <v>4.4180870881287557</v>
      </c>
      <c r="AW136" s="374">
        <f t="shared" si="59"/>
        <v>4.4685890289446455</v>
      </c>
      <c r="AX136" s="374">
        <f t="shared" si="59"/>
        <v>4.5161454816869746</v>
      </c>
      <c r="AY136" s="374">
        <f t="shared" si="59"/>
        <v>4.5645411556528899</v>
      </c>
      <c r="AZ136" s="374">
        <f t="shared" si="59"/>
        <v>4.6138248111245792</v>
      </c>
      <c r="BA136" s="374">
        <f t="shared" si="59"/>
        <v>4.6643557923232954</v>
      </c>
      <c r="BB136" s="374">
        <f t="shared" si="59"/>
        <v>4.7196313890137231</v>
      </c>
      <c r="BC136" s="374">
        <f t="shared" si="59"/>
        <v>4.776045528098388</v>
      </c>
      <c r="BD136" s="374">
        <f t="shared" si="59"/>
        <v>4.8336768180328402</v>
      </c>
      <c r="BE136" s="374">
        <f t="shared" si="59"/>
        <v>4.8925467837461518</v>
      </c>
      <c r="BF136" s="374">
        <f t="shared" si="59"/>
        <v>4.9566299825993863</v>
      </c>
      <c r="BG136" s="374">
        <f t="shared" si="59"/>
        <v>5.0224630787567177</v>
      </c>
      <c r="BH136" s="374">
        <f t="shared" si="59"/>
        <v>5.089761458373566</v>
      </c>
      <c r="BI136" s="374">
        <f t="shared" si="59"/>
        <v>5.1623630133084539</v>
      </c>
    </row>
    <row r="137" spans="1:61">
      <c r="A137" s="762" t="s">
        <v>771</v>
      </c>
      <c r="B137" s="762"/>
      <c r="C137" s="762"/>
      <c r="D137" s="762"/>
      <c r="E137" s="762"/>
      <c r="F137" s="762"/>
      <c r="G137" s="762"/>
      <c r="H137" s="762"/>
      <c r="I137" s="762"/>
      <c r="J137" s="762"/>
      <c r="K137" s="762"/>
      <c r="L137" s="762"/>
      <c r="M137" s="762"/>
      <c r="N137" s="762"/>
      <c r="O137" s="762"/>
      <c r="P137" s="762"/>
      <c r="Q137" s="762"/>
      <c r="R137" s="762"/>
      <c r="S137" s="762"/>
      <c r="T137" s="762"/>
      <c r="U137" s="762"/>
      <c r="V137" s="762"/>
    </row>
    <row r="138" spans="1:61" s="672" customFormat="1">
      <c r="A138" s="790"/>
      <c r="B138" s="790"/>
      <c r="C138" s="790"/>
      <c r="D138" s="790"/>
      <c r="E138" s="790"/>
      <c r="F138" s="790"/>
      <c r="G138" s="790"/>
      <c r="H138" s="790"/>
      <c r="I138" s="790"/>
      <c r="J138" s="790"/>
      <c r="K138" s="790"/>
      <c r="L138" s="790"/>
      <c r="M138" s="790"/>
      <c r="N138" s="790"/>
      <c r="O138" s="790"/>
      <c r="P138" s="790"/>
      <c r="Q138" s="790"/>
      <c r="R138" s="790"/>
      <c r="S138" s="790"/>
      <c r="T138" s="790"/>
      <c r="U138" s="790"/>
      <c r="V138" s="790"/>
    </row>
    <row r="139" spans="1:61">
      <c r="A139" s="416" t="s">
        <v>52</v>
      </c>
      <c r="B139" s="663" t="s">
        <v>309</v>
      </c>
      <c r="C139" s="649"/>
      <c r="D139" s="649"/>
      <c r="E139" s="649"/>
      <c r="F139" s="649"/>
      <c r="G139" s="649"/>
      <c r="H139" s="649"/>
      <c r="I139" s="649"/>
      <c r="J139" s="649"/>
      <c r="K139" s="649"/>
      <c r="L139" s="649"/>
      <c r="M139" s="649"/>
      <c r="N139" s="649"/>
      <c r="O139" s="649"/>
      <c r="P139" s="652"/>
      <c r="Q139" s="6"/>
      <c r="R139" s="6"/>
      <c r="S139" s="6"/>
      <c r="T139" s="6">
        <v>2020</v>
      </c>
      <c r="U139" s="6">
        <f>T139+1</f>
        <v>2021</v>
      </c>
      <c r="V139" s="6">
        <f t="shared" ref="V139:BI139" si="60">U139+1</f>
        <v>2022</v>
      </c>
      <c r="W139" s="6">
        <f t="shared" si="60"/>
        <v>2023</v>
      </c>
      <c r="X139" s="6">
        <f t="shared" si="60"/>
        <v>2024</v>
      </c>
      <c r="Y139" s="6">
        <f t="shared" si="60"/>
        <v>2025</v>
      </c>
      <c r="Z139" s="6">
        <f t="shared" si="60"/>
        <v>2026</v>
      </c>
      <c r="AA139" s="6">
        <f t="shared" si="60"/>
        <v>2027</v>
      </c>
      <c r="AB139" s="6">
        <f t="shared" si="60"/>
        <v>2028</v>
      </c>
      <c r="AC139" s="6">
        <f t="shared" si="60"/>
        <v>2029</v>
      </c>
      <c r="AD139" s="6">
        <f t="shared" si="60"/>
        <v>2030</v>
      </c>
      <c r="AE139" s="6">
        <f t="shared" si="60"/>
        <v>2031</v>
      </c>
      <c r="AF139" s="6">
        <f t="shared" si="60"/>
        <v>2032</v>
      </c>
      <c r="AG139" s="6">
        <f t="shared" si="60"/>
        <v>2033</v>
      </c>
      <c r="AH139" s="6">
        <f t="shared" si="60"/>
        <v>2034</v>
      </c>
      <c r="AI139" s="6">
        <f t="shared" si="60"/>
        <v>2035</v>
      </c>
      <c r="AJ139" s="6">
        <f t="shared" si="60"/>
        <v>2036</v>
      </c>
      <c r="AK139" s="6">
        <f t="shared" si="60"/>
        <v>2037</v>
      </c>
      <c r="AL139" s="6">
        <f t="shared" si="60"/>
        <v>2038</v>
      </c>
      <c r="AM139" s="6">
        <f t="shared" si="60"/>
        <v>2039</v>
      </c>
      <c r="AN139" s="6">
        <f t="shared" si="60"/>
        <v>2040</v>
      </c>
      <c r="AO139" s="6">
        <f t="shared" si="60"/>
        <v>2041</v>
      </c>
      <c r="AP139" s="6">
        <f t="shared" si="60"/>
        <v>2042</v>
      </c>
      <c r="AQ139" s="6">
        <f t="shared" si="60"/>
        <v>2043</v>
      </c>
      <c r="AR139" s="6">
        <f t="shared" si="60"/>
        <v>2044</v>
      </c>
      <c r="AS139" s="6">
        <f t="shared" si="60"/>
        <v>2045</v>
      </c>
      <c r="AT139" s="6">
        <f t="shared" si="60"/>
        <v>2046</v>
      </c>
      <c r="AU139" s="6">
        <f t="shared" si="60"/>
        <v>2047</v>
      </c>
      <c r="AV139" s="6">
        <f t="shared" si="60"/>
        <v>2048</v>
      </c>
      <c r="AW139" s="6">
        <f t="shared" si="60"/>
        <v>2049</v>
      </c>
      <c r="AX139" s="6">
        <f t="shared" si="60"/>
        <v>2050</v>
      </c>
      <c r="AY139" s="6">
        <f t="shared" si="60"/>
        <v>2051</v>
      </c>
      <c r="AZ139" s="6">
        <f t="shared" si="60"/>
        <v>2052</v>
      </c>
      <c r="BA139" s="6">
        <f t="shared" si="60"/>
        <v>2053</v>
      </c>
      <c r="BB139" s="6">
        <f t="shared" si="60"/>
        <v>2054</v>
      </c>
      <c r="BC139" s="6">
        <f t="shared" si="60"/>
        <v>2055</v>
      </c>
      <c r="BD139" s="6">
        <f t="shared" si="60"/>
        <v>2056</v>
      </c>
      <c r="BE139" s="6">
        <f t="shared" si="60"/>
        <v>2057</v>
      </c>
      <c r="BF139" s="6">
        <f t="shared" si="60"/>
        <v>2058</v>
      </c>
      <c r="BG139" s="6">
        <f t="shared" si="60"/>
        <v>2059</v>
      </c>
      <c r="BH139" s="6">
        <f t="shared" si="60"/>
        <v>2060</v>
      </c>
      <c r="BI139" s="6">
        <f t="shared" si="60"/>
        <v>2061</v>
      </c>
    </row>
    <row r="140" spans="1:61">
      <c r="A140" s="388" t="s">
        <v>224</v>
      </c>
      <c r="B140" s="664" t="s">
        <v>510</v>
      </c>
      <c r="C140" s="659"/>
      <c r="D140" s="659"/>
      <c r="E140" s="659"/>
      <c r="F140" s="659"/>
      <c r="G140" s="659"/>
      <c r="H140" s="659"/>
      <c r="I140" s="659"/>
      <c r="J140" s="659"/>
      <c r="K140" s="659"/>
      <c r="L140" s="659"/>
      <c r="M140" s="659"/>
      <c r="N140" s="659"/>
      <c r="O140" s="659"/>
      <c r="P140" s="665"/>
      <c r="Q140" s="661">
        <f>DATE(2016,12,31)</f>
        <v>42735</v>
      </c>
      <c r="R140" s="661">
        <f>DATE(YEAR(Q140+1),12,31)</f>
        <v>43100</v>
      </c>
      <c r="S140" s="661">
        <f t="shared" ref="S140" si="61">DATE(YEAR(R140+1),12,31)</f>
        <v>43465</v>
      </c>
      <c r="T140" s="661">
        <f>DATE(YEAR(S140+1),12,31)</f>
        <v>43830</v>
      </c>
      <c r="U140" s="661">
        <f t="shared" ref="U140:BI140" si="62">DATE(YEAR(T140+1),12,31)</f>
        <v>44196</v>
      </c>
      <c r="V140" s="661">
        <f t="shared" si="62"/>
        <v>44561</v>
      </c>
      <c r="W140" s="661">
        <f t="shared" si="62"/>
        <v>44926</v>
      </c>
      <c r="X140" s="661">
        <f t="shared" si="62"/>
        <v>45291</v>
      </c>
      <c r="Y140" s="661">
        <f t="shared" si="62"/>
        <v>45657</v>
      </c>
      <c r="Z140" s="661">
        <f t="shared" si="62"/>
        <v>46022</v>
      </c>
      <c r="AA140" s="661">
        <f t="shared" si="62"/>
        <v>46387</v>
      </c>
      <c r="AB140" s="661">
        <f t="shared" si="62"/>
        <v>46752</v>
      </c>
      <c r="AC140" s="661">
        <f t="shared" si="62"/>
        <v>47118</v>
      </c>
      <c r="AD140" s="661">
        <f t="shared" si="62"/>
        <v>47483</v>
      </c>
      <c r="AE140" s="661">
        <f t="shared" si="62"/>
        <v>47848</v>
      </c>
      <c r="AF140" s="661">
        <f t="shared" si="62"/>
        <v>48213</v>
      </c>
      <c r="AG140" s="661">
        <f t="shared" si="62"/>
        <v>48579</v>
      </c>
      <c r="AH140" s="661">
        <f t="shared" si="62"/>
        <v>48944</v>
      </c>
      <c r="AI140" s="661">
        <f t="shared" si="62"/>
        <v>49309</v>
      </c>
      <c r="AJ140" s="661">
        <f t="shared" si="62"/>
        <v>49674</v>
      </c>
      <c r="AK140" s="661">
        <f t="shared" si="62"/>
        <v>50040</v>
      </c>
      <c r="AL140" s="661">
        <f t="shared" si="62"/>
        <v>50405</v>
      </c>
      <c r="AM140" s="661">
        <f t="shared" si="62"/>
        <v>50770</v>
      </c>
      <c r="AN140" s="661">
        <f t="shared" si="62"/>
        <v>51135</v>
      </c>
      <c r="AO140" s="661">
        <f t="shared" si="62"/>
        <v>51501</v>
      </c>
      <c r="AP140" s="661">
        <f t="shared" si="62"/>
        <v>51866</v>
      </c>
      <c r="AQ140" s="661">
        <f t="shared" si="62"/>
        <v>52231</v>
      </c>
      <c r="AR140" s="661">
        <f t="shared" si="62"/>
        <v>52596</v>
      </c>
      <c r="AS140" s="661">
        <f t="shared" si="62"/>
        <v>52962</v>
      </c>
      <c r="AT140" s="661">
        <f t="shared" si="62"/>
        <v>53327</v>
      </c>
      <c r="AU140" s="661">
        <f t="shared" si="62"/>
        <v>53692</v>
      </c>
      <c r="AV140" s="661">
        <f t="shared" si="62"/>
        <v>54057</v>
      </c>
      <c r="AW140" s="661">
        <f t="shared" si="62"/>
        <v>54423</v>
      </c>
      <c r="AX140" s="661">
        <f t="shared" si="62"/>
        <v>54788</v>
      </c>
      <c r="AY140" s="661">
        <f t="shared" si="62"/>
        <v>55153</v>
      </c>
      <c r="AZ140" s="661">
        <f t="shared" si="62"/>
        <v>55518</v>
      </c>
      <c r="BA140" s="661">
        <f t="shared" si="62"/>
        <v>55884</v>
      </c>
      <c r="BB140" s="661">
        <f t="shared" si="62"/>
        <v>56249</v>
      </c>
      <c r="BC140" s="661">
        <f t="shared" si="62"/>
        <v>56614</v>
      </c>
      <c r="BD140" s="661">
        <f t="shared" si="62"/>
        <v>56979</v>
      </c>
      <c r="BE140" s="661">
        <f t="shared" si="62"/>
        <v>57345</v>
      </c>
      <c r="BF140" s="661">
        <f t="shared" si="62"/>
        <v>57710</v>
      </c>
      <c r="BG140" s="661">
        <f t="shared" si="62"/>
        <v>58075</v>
      </c>
      <c r="BH140" s="661">
        <f t="shared" si="62"/>
        <v>58440</v>
      </c>
      <c r="BI140" s="661">
        <f t="shared" si="62"/>
        <v>58806</v>
      </c>
    </row>
    <row r="141" spans="1:61">
      <c r="A141" s="854" t="s">
        <v>71</v>
      </c>
      <c r="B141" s="403" t="s">
        <v>208</v>
      </c>
      <c r="C141" s="409"/>
      <c r="D141" s="409"/>
      <c r="E141" s="409"/>
      <c r="F141" s="409"/>
      <c r="G141" s="409"/>
      <c r="H141" s="409"/>
      <c r="I141" s="409"/>
      <c r="J141" s="409"/>
      <c r="K141" s="409"/>
      <c r="L141" s="409"/>
      <c r="M141" s="409"/>
      <c r="N141" s="409"/>
      <c r="O141" s="409"/>
      <c r="P141" s="410"/>
      <c r="Q141" s="417">
        <f>AVERAGE(V23:V24)*$B$98*$Q$101*$Q$105/100</f>
        <v>2.641193588649754E-3</v>
      </c>
      <c r="R141" s="414">
        <f>Q141*Indeksacja!R$61</f>
        <v>2.8039316568733092E-3</v>
      </c>
      <c r="S141" s="407">
        <f>R141*Indeksacja!S$61</f>
        <v>2.983336430981838E-3</v>
      </c>
      <c r="T141" s="407">
        <f>S141*Indeksacja!T$61</f>
        <v>3.1619050643148954E-3</v>
      </c>
      <c r="U141" s="407">
        <f>T141*Indeksacja!U$61</f>
        <v>3.216695502032808E-3</v>
      </c>
      <c r="V141" s="407">
        <f>U141*Indeksacja!V$61</f>
        <v>3.5682547648960036E-3</v>
      </c>
      <c r="W141" s="407">
        <f>V141*Indeksacja!W$61</f>
        <v>4.2656454967987239E-3</v>
      </c>
      <c r="X141" s="407">
        <f>W141*Indeksacja!X$61</f>
        <v>4.7595583913383373E-3</v>
      </c>
      <c r="Y141" s="407">
        <f>X141*Indeksacja!Y$61</f>
        <v>4.8900139612613278E-3</v>
      </c>
      <c r="Z141" s="407">
        <f>Y141*Indeksacja!Z$61</f>
        <v>5.0477547388897079E-3</v>
      </c>
      <c r="AA141" s="407">
        <f>Z141*Indeksacja!AA$61</f>
        <v>5.1988711207771529E-3</v>
      </c>
      <c r="AB141" s="407">
        <f>AA141*Indeksacja!AB$61</f>
        <v>5.327556281017133E-3</v>
      </c>
      <c r="AC141" s="407">
        <f>AB141*Indeksacja!AC$61</f>
        <v>5.4598894003769372E-3</v>
      </c>
      <c r="AD141" s="407">
        <f>AC141*Indeksacja!AD$61</f>
        <v>5.5919465543942505E-3</v>
      </c>
      <c r="AE141" s="407">
        <f>AD141*Indeksacja!AE$61</f>
        <v>5.7234572085199673E-3</v>
      </c>
      <c r="AF141" s="407">
        <f>AE141*Indeksacja!AF$61</f>
        <v>5.8468731381194497E-3</v>
      </c>
      <c r="AG141" s="407">
        <f>AF141*Indeksacja!AG$61</f>
        <v>5.9654842889123134E-3</v>
      </c>
      <c r="AH141" s="407">
        <f>AG141*Indeksacja!AH$61</f>
        <v>6.088192933777976E-3</v>
      </c>
      <c r="AI141" s="407">
        <f>AH141*Indeksacja!AI$61</f>
        <v>6.2144443776255146E-3</v>
      </c>
      <c r="AJ141" s="407">
        <f>AI141*Indeksacja!AJ$61</f>
        <v>6.3343276080393583E-3</v>
      </c>
      <c r="AK141" s="407">
        <f>AJ141*Indeksacja!AK$61</f>
        <v>6.4523235752226389E-3</v>
      </c>
      <c r="AL141" s="407">
        <f>AK141*Indeksacja!AL$61</f>
        <v>6.5678116349858267E-3</v>
      </c>
      <c r="AM141" s="407">
        <f>AL141*Indeksacja!AM$61</f>
        <v>6.6808359122272542E-3</v>
      </c>
      <c r="AN141" s="407">
        <f>AM141*Indeksacja!AN$61</f>
        <v>6.7856881556266572E-3</v>
      </c>
      <c r="AO141" s="407">
        <f>AN141*Indeksacja!AO$61</f>
        <v>6.8817969642301427E-3</v>
      </c>
      <c r="AP141" s="407">
        <f>AO141*Indeksacja!AP$61</f>
        <v>6.9742166944959921E-3</v>
      </c>
      <c r="AQ141" s="407">
        <f>AP141*Indeksacja!AQ$61</f>
        <v>7.0570929083532486E-3</v>
      </c>
      <c r="AR141" s="407">
        <f>AQ141*Indeksacja!AR$61</f>
        <v>7.1353362330711717E-3</v>
      </c>
      <c r="AS141" s="407">
        <f>AR141*Indeksacja!AS$61</f>
        <v>7.2148616492137916E-3</v>
      </c>
      <c r="AT141" s="407">
        <f>AS141*Indeksacja!AT$61</f>
        <v>7.2961203499898458E-3</v>
      </c>
      <c r="AU141" s="407">
        <f>AT141*Indeksacja!AU$61</f>
        <v>7.3786842532544842E-3</v>
      </c>
      <c r="AV141" s="407">
        <f>AU141*Indeksacja!AV$61</f>
        <v>7.4625672405624873E-3</v>
      </c>
      <c r="AW141" s="407">
        <f>AV141*Indeksacja!AW$61</f>
        <v>7.5478697983436894E-3</v>
      </c>
      <c r="AX141" s="407">
        <f>AW141*Indeksacja!AX$61</f>
        <v>7.6281971479936874E-3</v>
      </c>
      <c r="AY141" s="407">
        <f>AX141*Indeksacja!AY$61</f>
        <v>7.7099420217182002E-3</v>
      </c>
      <c r="AZ141" s="407">
        <f>AY141*Indeksacja!AZ$61</f>
        <v>7.7931867802487455E-3</v>
      </c>
      <c r="BA141" s="407">
        <f>AZ141*Indeksacja!BA$61</f>
        <v>7.878538389985059E-3</v>
      </c>
      <c r="BB141" s="407">
        <f>BA141*Indeksacja!BB$61</f>
        <v>7.9719041043397852E-3</v>
      </c>
      <c r="BC141" s="407">
        <f>BB141*Indeksacja!BC$61</f>
        <v>8.0671929245554296E-3</v>
      </c>
      <c r="BD141" s="407">
        <f>BC141*Indeksacja!BD$61</f>
        <v>8.1645376277532915E-3</v>
      </c>
      <c r="BE141" s="407">
        <f>BD141*Indeksacja!BE$61</f>
        <v>8.2639745715757957E-3</v>
      </c>
      <c r="BF141" s="407">
        <f>BE141*Indeksacja!BF$61</f>
        <v>8.3722171595767367E-3</v>
      </c>
      <c r="BG141" s="407">
        <f>BF141*Indeksacja!BG$61</f>
        <v>8.4834154897428776E-3</v>
      </c>
      <c r="BH141" s="407">
        <f>BG141*Indeksacja!BH$61</f>
        <v>8.5970888223535179E-3</v>
      </c>
      <c r="BI141" s="407">
        <f>BH141*Indeksacja!BI$61</f>
        <v>8.7197197199939853E-3</v>
      </c>
    </row>
    <row r="142" spans="1:61">
      <c r="A142" s="854"/>
      <c r="B142" s="404" t="s">
        <v>209</v>
      </c>
      <c r="C142" s="411"/>
      <c r="D142" s="411"/>
      <c r="E142" s="411"/>
      <c r="F142" s="411"/>
      <c r="G142" s="411"/>
      <c r="H142" s="411"/>
      <c r="I142" s="411"/>
      <c r="J142" s="411"/>
      <c r="K142" s="411"/>
      <c r="L142" s="411"/>
      <c r="M142" s="411"/>
      <c r="N142" s="411"/>
      <c r="O142" s="411"/>
      <c r="P142" s="412"/>
      <c r="Q142" s="418">
        <f>AVERAGE(V25:V26)*$B$98*$Q$101*$Q$105/100</f>
        <v>4.8258845817304137E-3</v>
      </c>
      <c r="R142" s="415">
        <f>Q142*Indeksacja!R$61</f>
        <v>5.1232331508302429E-3</v>
      </c>
      <c r="S142" s="408">
        <f>R142*Indeksacja!S$61</f>
        <v>5.4510344664853317E-3</v>
      </c>
      <c r="T142" s="408">
        <f>S142*Indeksacja!T$61</f>
        <v>5.7773080187482019E-3</v>
      </c>
      <c r="U142" s="408">
        <f>T142*Indeksacja!U$61</f>
        <v>5.8774189419858692E-3</v>
      </c>
      <c r="V142" s="408">
        <f>U142*Indeksacja!V$61</f>
        <v>6.5197741383284978E-3</v>
      </c>
      <c r="W142" s="408">
        <f>V142*Indeksacja!W$61</f>
        <v>7.794018932422357E-3</v>
      </c>
      <c r="X142" s="408">
        <f>W142*Indeksacja!X$61</f>
        <v>8.6964770607169586E-3</v>
      </c>
      <c r="Y142" s="408">
        <f>X142*Indeksacja!Y$61</f>
        <v>8.9348403242799548E-3</v>
      </c>
      <c r="Z142" s="408">
        <f>Y142*Indeksacja!Z$61</f>
        <v>9.2230580414281067E-3</v>
      </c>
      <c r="AA142" s="408">
        <f>Z142*Indeksacja!AA$61</f>
        <v>9.4991719243829442E-3</v>
      </c>
      <c r="AB142" s="408">
        <f>AA142*Indeksacja!AB$61</f>
        <v>9.7343003653152533E-3</v>
      </c>
      <c r="AC142" s="408">
        <f>AB142*Indeksacja!AC$61</f>
        <v>9.9760942130344022E-3</v>
      </c>
      <c r="AD142" s="408">
        <f>AC142*Indeksacja!AD$61</f>
        <v>1.0217383827782086E-2</v>
      </c>
      <c r="AE142" s="408">
        <f>AD142*Indeksacja!AE$61</f>
        <v>1.0457674899517964E-2</v>
      </c>
      <c r="AF142" s="408">
        <f>AE142*Indeksacja!AF$61</f>
        <v>1.0683175610391091E-2</v>
      </c>
      <c r="AG142" s="408">
        <f>AF142*Indeksacja!AG$61</f>
        <v>1.0899897219247189E-2</v>
      </c>
      <c r="AH142" s="408">
        <f>AG142*Indeksacja!AH$61</f>
        <v>1.1124105607396795E-2</v>
      </c>
      <c r="AI142" s="408">
        <f>AH142*Indeksacja!AI$61</f>
        <v>1.1354787257883655E-2</v>
      </c>
      <c r="AJ142" s="408">
        <f>AI142*Indeksacja!AJ$61</f>
        <v>1.1573833160368209E-2</v>
      </c>
      <c r="AK142" s="408">
        <f>AJ142*Indeksacja!AK$61</f>
        <v>1.1789430730036424E-2</v>
      </c>
      <c r="AL142" s="408">
        <f>AK142*Indeksacja!AL$61</f>
        <v>1.2000445950344472E-2</v>
      </c>
      <c r="AM142" s="408">
        <f>AL142*Indeksacja!AM$61</f>
        <v>1.2206959444563377E-2</v>
      </c>
      <c r="AN142" s="408">
        <f>AM142*Indeksacja!AN$61</f>
        <v>1.2398541321391916E-2</v>
      </c>
      <c r="AO142" s="408">
        <f>AN142*Indeksacja!AO$61</f>
        <v>1.2574147539581E-2</v>
      </c>
      <c r="AP142" s="408">
        <f>AO142*Indeksacja!AP$61</f>
        <v>1.2743013219572922E-2</v>
      </c>
      <c r="AQ142" s="408">
        <f>AP142*Indeksacja!AQ$61</f>
        <v>1.2894441363410872E-2</v>
      </c>
      <c r="AR142" s="408">
        <f>AQ142*Indeksacja!AR$61</f>
        <v>1.3037404475241151E-2</v>
      </c>
      <c r="AS142" s="408">
        <f>AR142*Indeksacja!AS$61</f>
        <v>1.3182710173872111E-2</v>
      </c>
      <c r="AT142" s="408">
        <f>AS142*Indeksacja!AT$61</f>
        <v>1.3331182861709839E-2</v>
      </c>
      <c r="AU142" s="408">
        <f>AT142*Indeksacja!AU$61</f>
        <v>1.3482040363971153E-2</v>
      </c>
      <c r="AV142" s="408">
        <f>AU142*Indeksacja!AV$61</f>
        <v>1.3635308044484542E-2</v>
      </c>
      <c r="AW142" s="408">
        <f>AV142*Indeksacja!AW$61</f>
        <v>1.3791169508084762E-2</v>
      </c>
      <c r="AX142" s="408">
        <f>AW142*Indeksacja!AX$61</f>
        <v>1.3937940467939079E-2</v>
      </c>
      <c r="AY142" s="408">
        <f>AX142*Indeksacja!AY$61</f>
        <v>1.4087301471781399E-2</v>
      </c>
      <c r="AZ142" s="408">
        <f>AY142*Indeksacja!AZ$61</f>
        <v>1.4239403005886593E-2</v>
      </c>
      <c r="BA142" s="408">
        <f>AZ142*Indeksacja!BA$61</f>
        <v>1.4395354095281339E-2</v>
      </c>
      <c r="BB142" s="408">
        <f>BA142*Indeksacja!BB$61</f>
        <v>1.4565948240028244E-2</v>
      </c>
      <c r="BC142" s="408">
        <f>BB142*Indeksacja!BC$61</f>
        <v>1.474005620782967E-2</v>
      </c>
      <c r="BD142" s="408">
        <f>BC142*Indeksacja!BD$61</f>
        <v>1.4917920603796134E-2</v>
      </c>
      <c r="BE142" s="408">
        <f>BD142*Indeksacja!BE$61</f>
        <v>1.5099607859175523E-2</v>
      </c>
      <c r="BF142" s="408">
        <f>BE142*Indeksacja!BF$61</f>
        <v>1.5297384439720453E-2</v>
      </c>
      <c r="BG142" s="408">
        <f>BF142*Indeksacja!BG$61</f>
        <v>1.5500561635579575E-2</v>
      </c>
      <c r="BH142" s="408">
        <f>BG142*Indeksacja!BH$61</f>
        <v>1.570826105812741E-2</v>
      </c>
      <c r="BI142" s="408">
        <f>BH142*Indeksacja!BI$61</f>
        <v>1.5932327389618636E-2</v>
      </c>
    </row>
    <row r="143" spans="1:61">
      <c r="A143" s="854"/>
      <c r="B143" s="402" t="s">
        <v>227</v>
      </c>
      <c r="C143" s="377"/>
      <c r="D143" s="377"/>
      <c r="E143" s="377"/>
      <c r="F143" s="377"/>
      <c r="G143" s="377"/>
      <c r="H143" s="377"/>
      <c r="I143" s="377"/>
      <c r="J143" s="377"/>
      <c r="K143" s="377"/>
      <c r="L143" s="377"/>
      <c r="M143" s="377"/>
      <c r="N143" s="377"/>
      <c r="O143" s="377"/>
      <c r="P143" s="413"/>
      <c r="Q143" s="374">
        <f>Q141*$B$90+Q142*$B$91</f>
        <v>2.9688972376118528E-3</v>
      </c>
      <c r="R143" s="374">
        <f>R141*$B$90+R142*$B$91</f>
        <v>3.1518268809668489E-3</v>
      </c>
      <c r="S143" s="374">
        <f t="shared" ref="S143:BI143" si="63">S141*$B$90+S142*$B$91</f>
        <v>3.3534911363073618E-3</v>
      </c>
      <c r="T143" s="374">
        <f t="shared" si="63"/>
        <v>3.5542155074798913E-3</v>
      </c>
      <c r="U143" s="374">
        <f t="shared" si="63"/>
        <v>3.6158040180257669E-3</v>
      </c>
      <c r="V143" s="374">
        <f t="shared" si="63"/>
        <v>4.0109826709108778E-3</v>
      </c>
      <c r="W143" s="374">
        <f t="shared" si="63"/>
        <v>4.7949015121422685E-3</v>
      </c>
      <c r="X143" s="374">
        <f t="shared" si="63"/>
        <v>5.3500961917451306E-3</v>
      </c>
      <c r="Y143" s="374">
        <f t="shared" si="63"/>
        <v>5.4967379157141215E-3</v>
      </c>
      <c r="Z143" s="374">
        <f t="shared" si="63"/>
        <v>5.6740502342704675E-3</v>
      </c>
      <c r="AA143" s="374">
        <f t="shared" si="63"/>
        <v>5.8439162413180222E-3</v>
      </c>
      <c r="AB143" s="374">
        <f t="shared" si="63"/>
        <v>5.9885678936618513E-3</v>
      </c>
      <c r="AC143" s="374">
        <f t="shared" si="63"/>
        <v>6.1373201222755577E-3</v>
      </c>
      <c r="AD143" s="374">
        <f t="shared" si="63"/>
        <v>6.2857621454024265E-3</v>
      </c>
      <c r="AE143" s="374">
        <f t="shared" si="63"/>
        <v>6.4335898621696672E-3</v>
      </c>
      <c r="AF143" s="374">
        <f t="shared" si="63"/>
        <v>6.5723185089601958E-3</v>
      </c>
      <c r="AG143" s="374">
        <f t="shared" si="63"/>
        <v>6.7056462284625449E-3</v>
      </c>
      <c r="AH143" s="374">
        <f t="shared" si="63"/>
        <v>6.8435798348207991E-3</v>
      </c>
      <c r="AI143" s="374">
        <f t="shared" si="63"/>
        <v>6.9854958096642354E-3</v>
      </c>
      <c r="AJ143" s="374">
        <f t="shared" si="63"/>
        <v>7.1202534408886867E-3</v>
      </c>
      <c r="AK143" s="374">
        <f t="shared" si="63"/>
        <v>7.252889648444707E-3</v>
      </c>
      <c r="AL143" s="374">
        <f t="shared" si="63"/>
        <v>7.3827067822896239E-3</v>
      </c>
      <c r="AM143" s="374">
        <f t="shared" si="63"/>
        <v>7.5097544420776726E-3</v>
      </c>
      <c r="AN143" s="374">
        <f t="shared" si="63"/>
        <v>7.627616130491446E-3</v>
      </c>
      <c r="AO143" s="374">
        <f t="shared" si="63"/>
        <v>7.735649550532772E-3</v>
      </c>
      <c r="AP143" s="374">
        <f t="shared" si="63"/>
        <v>7.839536173257531E-3</v>
      </c>
      <c r="AQ143" s="374">
        <f t="shared" si="63"/>
        <v>7.9326951766118918E-3</v>
      </c>
      <c r="AR143" s="374">
        <f t="shared" si="63"/>
        <v>8.0206464693966684E-3</v>
      </c>
      <c r="AS143" s="374">
        <f t="shared" si="63"/>
        <v>8.1100389279125402E-3</v>
      </c>
      <c r="AT143" s="374">
        <f t="shared" si="63"/>
        <v>8.2013797267478459E-3</v>
      </c>
      <c r="AU143" s="374">
        <f t="shared" si="63"/>
        <v>8.2941876698619833E-3</v>
      </c>
      <c r="AV143" s="374">
        <f t="shared" si="63"/>
        <v>8.3884783611507946E-3</v>
      </c>
      <c r="AW143" s="374">
        <f t="shared" si="63"/>
        <v>8.48436475480485E-3</v>
      </c>
      <c r="AX143" s="374">
        <f t="shared" si="63"/>
        <v>8.5746586459854966E-3</v>
      </c>
      <c r="AY143" s="374">
        <f t="shared" si="63"/>
        <v>8.6665459392276795E-3</v>
      </c>
      <c r="AZ143" s="374">
        <f t="shared" si="63"/>
        <v>8.760119214094423E-3</v>
      </c>
      <c r="BA143" s="374">
        <f t="shared" si="63"/>
        <v>8.8560607457795013E-3</v>
      </c>
      <c r="BB143" s="374">
        <f t="shared" si="63"/>
        <v>8.961010724693054E-3</v>
      </c>
      <c r="BC143" s="374">
        <f t="shared" si="63"/>
        <v>9.0681224170465653E-3</v>
      </c>
      <c r="BD143" s="374">
        <f t="shared" si="63"/>
        <v>9.1775450741597171E-3</v>
      </c>
      <c r="BE143" s="374">
        <f t="shared" si="63"/>
        <v>9.2893195647157541E-3</v>
      </c>
      <c r="BF143" s="374">
        <f t="shared" si="63"/>
        <v>9.4109922515982943E-3</v>
      </c>
      <c r="BG143" s="374">
        <f t="shared" si="63"/>
        <v>9.535987411618381E-3</v>
      </c>
      <c r="BH143" s="374">
        <f t="shared" si="63"/>
        <v>9.6637646577196028E-3</v>
      </c>
      <c r="BI143" s="374">
        <f t="shared" si="63"/>
        <v>9.8016108704376825E-3</v>
      </c>
    </row>
    <row r="144" spans="1:61">
      <c r="A144" s="854" t="s">
        <v>162</v>
      </c>
      <c r="B144" s="403" t="s">
        <v>208</v>
      </c>
      <c r="C144" s="409"/>
      <c r="D144" s="409"/>
      <c r="E144" s="409"/>
      <c r="F144" s="409"/>
      <c r="G144" s="409"/>
      <c r="H144" s="409"/>
      <c r="I144" s="409"/>
      <c r="J144" s="409"/>
      <c r="K144" s="409"/>
      <c r="L144" s="409"/>
      <c r="M144" s="409"/>
      <c r="N144" s="409"/>
      <c r="O144" s="409"/>
      <c r="P144" s="410"/>
      <c r="Q144" s="417">
        <f>AVERAGE(V27:V28)*$B$98*$Q$101*$Q$105/100</f>
        <v>3.2830185378563095E-2</v>
      </c>
      <c r="R144" s="414">
        <f>Q144*Indeksacja!R$61</f>
        <v>3.4853028751683612E-2</v>
      </c>
      <c r="S144" s="407">
        <f>R144*Indeksacja!S$61</f>
        <v>3.7083040219640151E-2</v>
      </c>
      <c r="T144" s="407">
        <f>S144*Indeksacja!T$61</f>
        <v>3.9302658410564947E-2</v>
      </c>
      <c r="U144" s="407">
        <f>T144*Indeksacja!U$61</f>
        <v>3.9983706643826514E-2</v>
      </c>
      <c r="V144" s="407">
        <f>U144*Indeksacja!V$61</f>
        <v>4.4353608123577623E-2</v>
      </c>
      <c r="W144" s="407">
        <f>V144*Indeksacja!W$61</f>
        <v>5.3022214282569119E-2</v>
      </c>
      <c r="X144" s="407">
        <f>W144*Indeksacja!X$61</f>
        <v>5.9161579438641546E-2</v>
      </c>
      <c r="Y144" s="407">
        <f>X144*Indeksacja!Y$61</f>
        <v>6.0783149535829084E-2</v>
      </c>
      <c r="Z144" s="407">
        <f>Y144*Indeksacja!Z$61</f>
        <v>6.2743876304799426E-2</v>
      </c>
      <c r="AA144" s="407">
        <f>Z144*Indeksacja!AA$61</f>
        <v>6.4622261460822325E-2</v>
      </c>
      <c r="AB144" s="407">
        <f>AA144*Indeksacja!AB$61</f>
        <v>6.6221825265726314E-2</v>
      </c>
      <c r="AC144" s="407">
        <f>AB144*Indeksacja!AC$61</f>
        <v>6.7866733408384242E-2</v>
      </c>
      <c r="AD144" s="407">
        <f>AC144*Indeksacja!AD$61</f>
        <v>6.9508211286259239E-2</v>
      </c>
      <c r="AE144" s="407">
        <f>AD144*Indeksacja!AE$61</f>
        <v>7.1142896139636688E-2</v>
      </c>
      <c r="AF144" s="407">
        <f>AE144*Indeksacja!AF$61</f>
        <v>7.2676963110278575E-2</v>
      </c>
      <c r="AG144" s="407">
        <f>AF144*Indeksacja!AG$61</f>
        <v>7.4151306409167603E-2</v>
      </c>
      <c r="AH144" s="407">
        <f>AG144*Indeksacja!AH$61</f>
        <v>7.5676581790648248E-2</v>
      </c>
      <c r="AI144" s="407">
        <f>AH144*Indeksacja!AI$61</f>
        <v>7.7245894363432765E-2</v>
      </c>
      <c r="AJ144" s="407">
        <f>AI144*Indeksacja!AJ$61</f>
        <v>7.873604968380804E-2</v>
      </c>
      <c r="AK144" s="407">
        <f>AJ144*Indeksacja!AK$61</f>
        <v>8.0202746215708359E-2</v>
      </c>
      <c r="AL144" s="407">
        <f>AK144*Indeksacja!AL$61</f>
        <v>8.1638269316828091E-2</v>
      </c>
      <c r="AM144" s="407">
        <f>AL144*Indeksacja!AM$61</f>
        <v>8.3043167462143949E-2</v>
      </c>
      <c r="AN144" s="407">
        <f>AM144*Indeksacja!AN$61</f>
        <v>8.4346486765565554E-2</v>
      </c>
      <c r="AO144" s="407">
        <f>AN144*Indeksacja!AO$61</f>
        <v>8.5541124680985584E-2</v>
      </c>
      <c r="AP144" s="407">
        <f>AO144*Indeksacja!AP$61</f>
        <v>8.668990714445346E-2</v>
      </c>
      <c r="AQ144" s="407">
        <f>AP144*Indeksacja!AQ$61</f>
        <v>8.7720063160316789E-2</v>
      </c>
      <c r="AR144" s="407">
        <f>AQ144*Indeksacja!AR$61</f>
        <v>8.8692632102693222E-2</v>
      </c>
      <c r="AS144" s="407">
        <f>AR144*Indeksacja!AS$61</f>
        <v>8.9681137513841186E-2</v>
      </c>
      <c r="AT144" s="407">
        <f>AS144*Indeksacja!AT$61</f>
        <v>9.0691187750811073E-2</v>
      </c>
      <c r="AU144" s="407">
        <f>AT144*Indeksacja!AU$61</f>
        <v>9.1717461728381022E-2</v>
      </c>
      <c r="AV144" s="407">
        <f>AU144*Indeksacja!AV$61</f>
        <v>9.2760131995060432E-2</v>
      </c>
      <c r="AW144" s="407">
        <f>AV144*Indeksacja!AW$61</f>
        <v>9.3820447602843707E-2</v>
      </c>
      <c r="AX144" s="407">
        <f>AW144*Indeksacja!AX$61</f>
        <v>9.4818921092750322E-2</v>
      </c>
      <c r="AY144" s="407">
        <f>AX144*Indeksacja!AY$61</f>
        <v>9.5835014486909648E-2</v>
      </c>
      <c r="AZ144" s="407">
        <f>AY144*Indeksacja!AZ$61</f>
        <v>9.6869751533862986E-2</v>
      </c>
      <c r="BA144" s="407">
        <f>AZ144*Indeksacja!BA$61</f>
        <v>9.7930676860216836E-2</v>
      </c>
      <c r="BB144" s="407">
        <f>BA144*Indeksacja!BB$61</f>
        <v>9.9091217959301744E-2</v>
      </c>
      <c r="BC144" s="407">
        <f>BB144*Indeksacja!BC$61</f>
        <v>0.10027566337277993</v>
      </c>
      <c r="BD144" s="407">
        <f>BC144*Indeksacja!BD$61</f>
        <v>0.10148566352776321</v>
      </c>
      <c r="BE144" s="407">
        <f>BD144*Indeksacja!BE$61</f>
        <v>0.10272167035179897</v>
      </c>
      <c r="BF144" s="407">
        <f>BE144*Indeksacja!BF$61</f>
        <v>0.10406713182997218</v>
      </c>
      <c r="BG144" s="407">
        <f>BF144*Indeksacja!BG$61</f>
        <v>0.10544933335008393</v>
      </c>
      <c r="BH144" s="407">
        <f>BG144*Indeksacja!BH$61</f>
        <v>0.10686229929027244</v>
      </c>
      <c r="BI144" s="407">
        <f>BH144*Indeksacja!BI$61</f>
        <v>0.10838660826935578</v>
      </c>
    </row>
    <row r="145" spans="1:61">
      <c r="A145" s="854"/>
      <c r="B145" s="404" t="s">
        <v>209</v>
      </c>
      <c r="C145" s="411"/>
      <c r="D145" s="411"/>
      <c r="E145" s="411"/>
      <c r="F145" s="411"/>
      <c r="G145" s="411"/>
      <c r="H145" s="411"/>
      <c r="I145" s="411"/>
      <c r="J145" s="411"/>
      <c r="K145" s="411"/>
      <c r="L145" s="411"/>
      <c r="M145" s="411"/>
      <c r="N145" s="411"/>
      <c r="O145" s="411"/>
      <c r="P145" s="412"/>
      <c r="Q145" s="418">
        <f>AVERAGE(V29:V30)*$B$98*$Q$101*$Q$105/100</f>
        <v>5.9789198958012761E-2</v>
      </c>
      <c r="R145" s="415">
        <f>Q145*Indeksacja!R$61</f>
        <v>6.3473131397071503E-2</v>
      </c>
      <c r="S145" s="408">
        <f>R145*Indeksacja!S$61</f>
        <v>6.7534351210449817E-2</v>
      </c>
      <c r="T145" s="408">
        <f>S145*Indeksacja!T$61</f>
        <v>7.1576643146902943E-2</v>
      </c>
      <c r="U145" s="408">
        <f>T145*Indeksacja!U$61</f>
        <v>7.2816944651416138E-2</v>
      </c>
      <c r="V145" s="408">
        <f>U145*Indeksacja!V$61</f>
        <v>8.0775258196924021E-2</v>
      </c>
      <c r="W145" s="408">
        <f>V145*Indeksacja!W$61</f>
        <v>9.6562224135502639E-2</v>
      </c>
      <c r="X145" s="408">
        <f>W145*Indeksacja!X$61</f>
        <v>0.10774302377338671</v>
      </c>
      <c r="Y145" s="408">
        <f>X145*Indeksacja!Y$61</f>
        <v>0.11069617119083676</v>
      </c>
      <c r="Z145" s="408">
        <f>Y145*Indeksacja!Z$61</f>
        <v>0.11426697901724692</v>
      </c>
      <c r="AA145" s="408">
        <f>Z145*Indeksacja!AA$61</f>
        <v>0.11768782914398923</v>
      </c>
      <c r="AB145" s="408">
        <f>AA145*Indeksacja!AB$61</f>
        <v>0.12060089946249825</v>
      </c>
      <c r="AC145" s="408">
        <f>AB145*Indeksacja!AC$61</f>
        <v>0.1235965493217661</v>
      </c>
      <c r="AD145" s="408">
        <f>AC145*Indeksacja!AD$61</f>
        <v>0.12658595210136564</v>
      </c>
      <c r="AE145" s="408">
        <f>AD145*Indeksacja!AE$61</f>
        <v>0.1295629836595259</v>
      </c>
      <c r="AF145" s="408">
        <f>AE145*Indeksacja!AF$61</f>
        <v>0.13235677340713159</v>
      </c>
      <c r="AG145" s="408">
        <f>AF145*Indeksacja!AG$61</f>
        <v>0.13504179646786788</v>
      </c>
      <c r="AH145" s="408">
        <f>AG145*Indeksacja!AH$61</f>
        <v>0.13781957527714173</v>
      </c>
      <c r="AI145" s="408">
        <f>AH145*Indeksacja!AI$61</f>
        <v>0.14067755309723623</v>
      </c>
      <c r="AJ145" s="408">
        <f>AI145*Indeksacja!AJ$61</f>
        <v>0.14339137246501946</v>
      </c>
      <c r="AK145" s="408">
        <f>AJ145*Indeksacja!AK$61</f>
        <v>0.146062469497998</v>
      </c>
      <c r="AL145" s="408">
        <f>AK145*Indeksacja!AL$61</f>
        <v>0.14867679455623278</v>
      </c>
      <c r="AM145" s="408">
        <f>AL145*Indeksacja!AM$61</f>
        <v>0.15123534650339543</v>
      </c>
      <c r="AN145" s="408">
        <f>AM145*Indeksacja!AN$61</f>
        <v>0.15360890657439566</v>
      </c>
      <c r="AO145" s="408">
        <f>AN145*Indeksacja!AO$61</f>
        <v>0.15578453985773594</v>
      </c>
      <c r="AP145" s="408">
        <f>AO145*Indeksacja!AP$61</f>
        <v>0.15787666277680437</v>
      </c>
      <c r="AQ145" s="408">
        <f>AP145*Indeksacja!AQ$61</f>
        <v>0.15975274730937797</v>
      </c>
      <c r="AR145" s="408">
        <f>AQ145*Indeksacja!AR$61</f>
        <v>0.16152395625400057</v>
      </c>
      <c r="AS145" s="408">
        <f>AR145*Indeksacja!AS$61</f>
        <v>0.16332418814476501</v>
      </c>
      <c r="AT145" s="408">
        <f>AS145*Indeksacja!AT$61</f>
        <v>0.16516365672769948</v>
      </c>
      <c r="AU145" s="408">
        <f>AT145*Indeksacja!AU$61</f>
        <v>0.1670326714263014</v>
      </c>
      <c r="AV145" s="408">
        <f>AU145*Indeksacja!AV$61</f>
        <v>0.16893154647995268</v>
      </c>
      <c r="AW145" s="408">
        <f>AV145*Indeksacja!AW$61</f>
        <v>0.17086255661897662</v>
      </c>
      <c r="AX145" s="408">
        <f>AW145*Indeksacja!AX$61</f>
        <v>0.17268094203026668</v>
      </c>
      <c r="AY145" s="408">
        <f>AX145*Indeksacja!AY$61</f>
        <v>0.17453141620221524</v>
      </c>
      <c r="AZ145" s="408">
        <f>AY145*Indeksacja!AZ$61</f>
        <v>0.17641584355028364</v>
      </c>
      <c r="BA145" s="408">
        <f>AZ145*Indeksacja!BA$61</f>
        <v>0.17834796408769565</v>
      </c>
      <c r="BB145" s="408">
        <f>BA145*Indeksacja!BB$61</f>
        <v>0.18046150142755624</v>
      </c>
      <c r="BC145" s="408">
        <f>BB145*Indeksacja!BC$61</f>
        <v>0.18261857247862601</v>
      </c>
      <c r="BD145" s="408">
        <f>BC145*Indeksacja!BD$61</f>
        <v>0.18482218294172012</v>
      </c>
      <c r="BE145" s="408">
        <f>BD145*Indeksacja!BE$61</f>
        <v>0.18707315585166867</v>
      </c>
      <c r="BF145" s="408">
        <f>BE145*Indeksacja!BF$61</f>
        <v>0.18952346379483878</v>
      </c>
      <c r="BG145" s="408">
        <f>BF145*Indeksacja!BG$61</f>
        <v>0.19204068143260422</v>
      </c>
      <c r="BH145" s="408">
        <f>BG145*Indeksacja!BH$61</f>
        <v>0.19461392616895556</v>
      </c>
      <c r="BI145" s="408">
        <f>BH145*Indeksacja!BI$61</f>
        <v>0.19738994499958357</v>
      </c>
    </row>
    <row r="146" spans="1:61">
      <c r="A146" s="854"/>
      <c r="B146" s="402" t="s">
        <v>227</v>
      </c>
      <c r="C146" s="377"/>
      <c r="D146" s="377"/>
      <c r="E146" s="377"/>
      <c r="F146" s="377"/>
      <c r="G146" s="377"/>
      <c r="H146" s="377"/>
      <c r="I146" s="377"/>
      <c r="J146" s="377"/>
      <c r="K146" s="377"/>
      <c r="L146" s="377"/>
      <c r="M146" s="377"/>
      <c r="N146" s="377"/>
      <c r="O146" s="377"/>
      <c r="P146" s="413"/>
      <c r="Q146" s="374">
        <f>Q144*$B$90+Q145*$B$91</f>
        <v>3.6874037415480551E-2</v>
      </c>
      <c r="R146" s="374">
        <f>R144*$B$90+R145*$B$91</f>
        <v>3.9146044148491793E-2</v>
      </c>
      <c r="S146" s="374">
        <f t="shared" ref="S146:BI146" si="64">S144*$B$90+S145*$B$91</f>
        <v>4.1650736868261602E-2</v>
      </c>
      <c r="T146" s="374">
        <f t="shared" si="64"/>
        <v>4.4143756121015648E-2</v>
      </c>
      <c r="U146" s="374">
        <f t="shared" si="64"/>
        <v>4.4908692344964959E-2</v>
      </c>
      <c r="V146" s="374">
        <f t="shared" si="64"/>
        <v>4.9816855634579583E-2</v>
      </c>
      <c r="W146" s="374">
        <f t="shared" si="64"/>
        <v>5.9553215760509148E-2</v>
      </c>
      <c r="X146" s="374">
        <f t="shared" si="64"/>
        <v>6.6448796088853318E-2</v>
      </c>
      <c r="Y146" s="374">
        <f t="shared" si="64"/>
        <v>6.8270102784080244E-2</v>
      </c>
      <c r="Z146" s="374">
        <f t="shared" si="64"/>
        <v>7.0472341711666553E-2</v>
      </c>
      <c r="AA146" s="374">
        <f t="shared" si="64"/>
        <v>7.2582096613297356E-2</v>
      </c>
      <c r="AB146" s="374">
        <f t="shared" si="64"/>
        <v>7.4378686395242102E-2</v>
      </c>
      <c r="AC146" s="374">
        <f t="shared" si="64"/>
        <v>7.6226205795391522E-2</v>
      </c>
      <c r="AD146" s="374">
        <f t="shared" si="64"/>
        <v>7.8069872408525198E-2</v>
      </c>
      <c r="AE146" s="374">
        <f t="shared" si="64"/>
        <v>7.9905909267620062E-2</v>
      </c>
      <c r="AF146" s="374">
        <f t="shared" si="64"/>
        <v>8.1628934654806529E-2</v>
      </c>
      <c r="AG146" s="374">
        <f t="shared" si="64"/>
        <v>8.3284879917972635E-2</v>
      </c>
      <c r="AH146" s="374">
        <f t="shared" si="64"/>
        <v>8.4998030813622283E-2</v>
      </c>
      <c r="AI146" s="374">
        <f t="shared" si="64"/>
        <v>8.676064317350328E-2</v>
      </c>
      <c r="AJ146" s="374">
        <f t="shared" si="64"/>
        <v>8.8434348100989754E-2</v>
      </c>
      <c r="AK146" s="374">
        <f t="shared" si="64"/>
        <v>9.008170470805181E-2</v>
      </c>
      <c r="AL146" s="374">
        <f t="shared" si="64"/>
        <v>9.1694048102738804E-2</v>
      </c>
      <c r="AM146" s="374">
        <f t="shared" si="64"/>
        <v>9.3271994318331677E-2</v>
      </c>
      <c r="AN146" s="374">
        <f t="shared" si="64"/>
        <v>9.473584973689006E-2</v>
      </c>
      <c r="AO146" s="374">
        <f t="shared" si="64"/>
        <v>9.607763695749813E-2</v>
      </c>
      <c r="AP146" s="374">
        <f t="shared" si="64"/>
        <v>9.7367920489306092E-2</v>
      </c>
      <c r="AQ146" s="374">
        <f t="shared" si="64"/>
        <v>9.8524965782675972E-2</v>
      </c>
      <c r="AR146" s="374">
        <f t="shared" si="64"/>
        <v>9.9617330725389322E-2</v>
      </c>
      <c r="AS146" s="374">
        <f t="shared" si="64"/>
        <v>0.10072759510847976</v>
      </c>
      <c r="AT146" s="374">
        <f t="shared" si="64"/>
        <v>0.10186205809734433</v>
      </c>
      <c r="AU146" s="374">
        <f t="shared" si="64"/>
        <v>0.10301474318306908</v>
      </c>
      <c r="AV146" s="374">
        <f t="shared" si="64"/>
        <v>0.10418584416779428</v>
      </c>
      <c r="AW146" s="374">
        <f t="shared" si="64"/>
        <v>0.10537676395526364</v>
      </c>
      <c r="AX146" s="374">
        <f t="shared" si="64"/>
        <v>0.10649822423337778</v>
      </c>
      <c r="AY146" s="374">
        <f t="shared" si="64"/>
        <v>0.10763947474420549</v>
      </c>
      <c r="AZ146" s="374">
        <f t="shared" si="64"/>
        <v>0.10880166533632608</v>
      </c>
      <c r="BA146" s="374">
        <f t="shared" si="64"/>
        <v>0.10999326994433867</v>
      </c>
      <c r="BB146" s="374">
        <f t="shared" si="64"/>
        <v>0.11129676047953992</v>
      </c>
      <c r="BC146" s="374">
        <f t="shared" si="64"/>
        <v>0.11262709973865684</v>
      </c>
      <c r="BD146" s="374">
        <f t="shared" si="64"/>
        <v>0.11398614143985675</v>
      </c>
      <c r="BE146" s="374">
        <f t="shared" si="64"/>
        <v>0.11537439317677943</v>
      </c>
      <c r="BF146" s="374">
        <f t="shared" si="64"/>
        <v>0.11688558162470217</v>
      </c>
      <c r="BG146" s="374">
        <f t="shared" si="64"/>
        <v>0.11843803556246196</v>
      </c>
      <c r="BH146" s="374">
        <f t="shared" si="64"/>
        <v>0.12002504332207491</v>
      </c>
      <c r="BI146" s="374">
        <f t="shared" si="64"/>
        <v>0.12173710877888996</v>
      </c>
    </row>
    <row r="147" spans="1:61">
      <c r="A147" s="854" t="s">
        <v>739</v>
      </c>
      <c r="B147" s="403" t="s">
        <v>208</v>
      </c>
      <c r="C147" s="409"/>
      <c r="D147" s="409"/>
      <c r="E147" s="409"/>
      <c r="F147" s="409"/>
      <c r="G147" s="409"/>
      <c r="H147" s="409"/>
      <c r="I147" s="409"/>
      <c r="J147" s="409"/>
      <c r="K147" s="409"/>
      <c r="L147" s="409"/>
      <c r="M147" s="409"/>
      <c r="N147" s="409"/>
      <c r="O147" s="409"/>
      <c r="P147" s="410"/>
      <c r="Q147" s="417">
        <f>AVERAGE(V31:V32)*$B$98*$Q$101*$Q$105/100</f>
        <v>2.0722697746964999E-2</v>
      </c>
      <c r="R147" s="414">
        <f>Q147*Indeksacja!R$61</f>
        <v>2.1999534028188043E-2</v>
      </c>
      <c r="S147" s="407">
        <f>R147*Indeksacja!S$61</f>
        <v>2.3407136607639319E-2</v>
      </c>
      <c r="T147" s="407">
        <f>S147*Indeksacja!T$61</f>
        <v>2.4808178860487327E-2</v>
      </c>
      <c r="U147" s="407">
        <f>T147*Indeksacja!U$61</f>
        <v>2.5238062412049584E-2</v>
      </c>
      <c r="V147" s="407">
        <f>U147*Indeksacja!V$61</f>
        <v>2.7996382126199815E-2</v>
      </c>
      <c r="W147" s="407">
        <f>V147*Indeksacja!W$61</f>
        <v>3.3468081516528456E-2</v>
      </c>
      <c r="X147" s="407">
        <f>W147*Indeksacja!X$61</f>
        <v>3.7343302049721368E-2</v>
      </c>
      <c r="Y147" s="407">
        <f>X147*Indeksacja!Y$61</f>
        <v>3.8366851158934616E-2</v>
      </c>
      <c r="Z147" s="407">
        <f>Y147*Indeksacja!Z$61</f>
        <v>3.9604478900881104E-2</v>
      </c>
      <c r="AA147" s="407">
        <f>Z147*Indeksacja!AA$61</f>
        <v>4.0790131902586818E-2</v>
      </c>
      <c r="AB147" s="407">
        <f>AA147*Indeksacja!AB$61</f>
        <v>4.1799790449250238E-2</v>
      </c>
      <c r="AC147" s="407">
        <f>AB147*Indeksacja!AC$61</f>
        <v>4.2838070735175135E-2</v>
      </c>
      <c r="AD147" s="407">
        <f>AC147*Indeksacja!AD$61</f>
        <v>4.3874185808218377E-2</v>
      </c>
      <c r="AE147" s="407">
        <f>AD147*Indeksacja!AE$61</f>
        <v>4.4906013065282899E-2</v>
      </c>
      <c r="AF147" s="407">
        <f>AE147*Indeksacja!AF$61</f>
        <v>4.5874329442106399E-2</v>
      </c>
      <c r="AG147" s="407">
        <f>AF147*Indeksacja!AG$61</f>
        <v>4.6804947719336416E-2</v>
      </c>
      <c r="AH147" s="407">
        <f>AG147*Indeksacja!AH$61</f>
        <v>4.7767714768831931E-2</v>
      </c>
      <c r="AI147" s="407">
        <f>AH147*Indeksacja!AI$61</f>
        <v>4.8758278475412774E-2</v>
      </c>
      <c r="AJ147" s="407">
        <f>AI147*Indeksacja!AJ$61</f>
        <v>4.9698877437742484E-2</v>
      </c>
      <c r="AK147" s="407">
        <f>AJ147*Indeksacja!AK$61</f>
        <v>5.0624669009328861E-2</v>
      </c>
      <c r="AL147" s="407">
        <f>AK147*Indeksacja!AL$61</f>
        <v>5.1530783641039538E-2</v>
      </c>
      <c r="AM147" s="407">
        <f>AL147*Indeksacja!AM$61</f>
        <v>5.2417567535036742E-2</v>
      </c>
      <c r="AN147" s="407">
        <f>AM147*Indeksacja!AN$61</f>
        <v>5.3240233983037566E-2</v>
      </c>
      <c r="AO147" s="407">
        <f>AN147*Indeksacja!AO$61</f>
        <v>5.3994299796338713E-2</v>
      </c>
      <c r="AP147" s="407">
        <f>AO147*Indeksacja!AP$61</f>
        <v>5.4719421250663577E-2</v>
      </c>
      <c r="AQ147" s="407">
        <f>AP147*Indeksacja!AQ$61</f>
        <v>5.5369664662413928E-2</v>
      </c>
      <c r="AR147" s="407">
        <f>AQ147*Indeksacja!AR$61</f>
        <v>5.5983558613926981E-2</v>
      </c>
      <c r="AS147" s="407">
        <f>AR147*Indeksacja!AS$61</f>
        <v>5.6607511802745529E-2</v>
      </c>
      <c r="AT147" s="407">
        <f>AS147*Indeksacja!AT$61</f>
        <v>5.7245064272481036E-2</v>
      </c>
      <c r="AU147" s="407">
        <f>AT147*Indeksacja!AU$61</f>
        <v>5.7892857307991707E-2</v>
      </c>
      <c r="AV147" s="407">
        <f>AU147*Indeksacja!AV$61</f>
        <v>5.85509998233932E-2</v>
      </c>
      <c r="AW147" s="407">
        <f>AV147*Indeksacja!AW$61</f>
        <v>5.9220280231137401E-2</v>
      </c>
      <c r="AX147" s="407">
        <f>AW147*Indeksacja!AX$61</f>
        <v>5.98505253577215E-2</v>
      </c>
      <c r="AY147" s="407">
        <f>AX147*Indeksacja!AY$61</f>
        <v>6.0491892320687246E-2</v>
      </c>
      <c r="AZ147" s="407">
        <f>AY147*Indeksacja!AZ$61</f>
        <v>6.1145027318992871E-2</v>
      </c>
      <c r="BA147" s="407">
        <f>AZ147*Indeksacja!BA$61</f>
        <v>6.1814692586386902E-2</v>
      </c>
      <c r="BB147" s="407">
        <f>BA147*Indeksacja!BB$61</f>
        <v>6.2547236193495823E-2</v>
      </c>
      <c r="BC147" s="407">
        <f>BB147*Indeksacja!BC$61</f>
        <v>6.3294868411171767E-2</v>
      </c>
      <c r="BD147" s="407">
        <f>BC147*Indeksacja!BD$61</f>
        <v>6.4058631003321848E-2</v>
      </c>
      <c r="BE147" s="407">
        <f>BD147*Indeksacja!BE$61</f>
        <v>6.4838809230533548E-2</v>
      </c>
      <c r="BF147" s="407">
        <f>BE147*Indeksacja!BF$61</f>
        <v>6.5688076184736433E-2</v>
      </c>
      <c r="BG147" s="407">
        <f>BF147*Indeksacja!BG$61</f>
        <v>6.656053377205709E-2</v>
      </c>
      <c r="BH147" s="407">
        <f>BG147*Indeksacja!BH$61</f>
        <v>6.7452410128149856E-2</v>
      </c>
      <c r="BI147" s="407">
        <f>BH147*Indeksacja!BI$61</f>
        <v>6.8414567176070598E-2</v>
      </c>
    </row>
    <row r="148" spans="1:61">
      <c r="A148" s="854"/>
      <c r="B148" s="404" t="s">
        <v>209</v>
      </c>
      <c r="C148" s="411"/>
      <c r="D148" s="411"/>
      <c r="E148" s="411"/>
      <c r="F148" s="411"/>
      <c r="G148" s="411"/>
      <c r="H148" s="411"/>
      <c r="I148" s="411"/>
      <c r="J148" s="411"/>
      <c r="K148" s="411"/>
      <c r="L148" s="411"/>
      <c r="M148" s="411"/>
      <c r="N148" s="411"/>
      <c r="O148" s="411"/>
      <c r="P148" s="412"/>
      <c r="Q148" s="418">
        <f>AVERAGE(V33:V34)*$B$98*$Q$101*$Q$105/100</f>
        <v>3.7765902922335719E-2</v>
      </c>
      <c r="R148" s="415">
        <f>Q148*Indeksacja!R$61</f>
        <v>4.0092862260988814E-2</v>
      </c>
      <c r="S148" s="408">
        <f>R148*Indeksacja!S$61</f>
        <v>4.2658135519224309E-2</v>
      </c>
      <c r="T148" s="408">
        <f>S148*Indeksacja!T$61</f>
        <v>4.5211452966461493E-2</v>
      </c>
      <c r="U148" s="408">
        <f>T148*Indeksacja!U$61</f>
        <v>4.5994890561047205E-2</v>
      </c>
      <c r="V148" s="408">
        <f>U148*Indeksacja!V$61</f>
        <v>5.1021766686218648E-2</v>
      </c>
      <c r="W148" s="408">
        <f>V148*Indeksacja!W$61</f>
        <v>6.0993618349480958E-2</v>
      </c>
      <c r="X148" s="408">
        <f>W148*Indeksacja!X$61</f>
        <v>6.8055980800848556E-2</v>
      </c>
      <c r="Y148" s="408">
        <f>X148*Indeksacja!Y$61</f>
        <v>6.9921339103459129E-2</v>
      </c>
      <c r="Z148" s="408">
        <f>Y148*Indeksacja!Z$61</f>
        <v>7.2176843175711797E-2</v>
      </c>
      <c r="AA148" s="408">
        <f>Z148*Indeksacja!AA$61</f>
        <v>7.433762632801888E-2</v>
      </c>
      <c r="AB148" s="408">
        <f>AA148*Indeksacja!AB$61</f>
        <v>7.617766989394803E-2</v>
      </c>
      <c r="AC148" s="408">
        <f>AB148*Indeksacja!AC$61</f>
        <v>7.8069874903315475E-2</v>
      </c>
      <c r="AD148" s="408">
        <f>AC148*Indeksacja!AD$61</f>
        <v>7.9958133939021903E-2</v>
      </c>
      <c r="AE148" s="408">
        <f>AD148*Indeksacja!AE$61</f>
        <v>8.1838578681243071E-2</v>
      </c>
      <c r="AF148" s="408">
        <f>AE148*Indeksacja!AF$61</f>
        <v>8.3603278564036071E-2</v>
      </c>
      <c r="AG148" s="408">
        <f>AF148*Indeksacja!AG$61</f>
        <v>8.5299275868285104E-2</v>
      </c>
      <c r="AH148" s="408">
        <f>AG148*Indeksacja!AH$61</f>
        <v>8.7053862427045117E-2</v>
      </c>
      <c r="AI148" s="408">
        <f>AH148*Indeksacja!AI$61</f>
        <v>8.885910676530219E-2</v>
      </c>
      <c r="AJ148" s="408">
        <f>AI148*Indeksacja!AJ$61</f>
        <v>9.0573293283580006E-2</v>
      </c>
      <c r="AK148" s="408">
        <f>AJ148*Indeksacja!AK$61</f>
        <v>9.2260494199492046E-2</v>
      </c>
      <c r="AL148" s="408">
        <f>AK148*Indeksacja!AL$61</f>
        <v>9.3911835044952444E-2</v>
      </c>
      <c r="AM148" s="408">
        <f>AL148*Indeksacja!AM$61</f>
        <v>9.5527946753124912E-2</v>
      </c>
      <c r="AN148" s="408">
        <f>AM148*Indeksacja!AN$61</f>
        <v>9.7027208171306431E-2</v>
      </c>
      <c r="AO148" s="408">
        <f>AN148*Indeksacja!AO$61</f>
        <v>9.8401448950664133E-2</v>
      </c>
      <c r="AP148" s="408">
        <f>AO148*Indeksacja!AP$61</f>
        <v>9.9722940331049031E-2</v>
      </c>
      <c r="AQ148" s="408">
        <f>AP148*Indeksacja!AQ$61</f>
        <v>0.10090797086442389</v>
      </c>
      <c r="AR148" s="408">
        <f>AQ148*Indeksacja!AR$61</f>
        <v>0.10202675663549207</v>
      </c>
      <c r="AS148" s="408">
        <f>AR148*Indeksacja!AS$61</f>
        <v>0.10316387477738334</v>
      </c>
      <c r="AT148" s="408">
        <f>AS148*Indeksacja!AT$61</f>
        <v>0.10432577681224041</v>
      </c>
      <c r="AU148" s="408">
        <f>AT148*Indeksacja!AU$61</f>
        <v>0.10550634167843619</v>
      </c>
      <c r="AV148" s="408">
        <f>AU148*Indeksacja!AV$61</f>
        <v>0.10670576786556739</v>
      </c>
      <c r="AW148" s="408">
        <f>AV148*Indeksacja!AW$61</f>
        <v>0.10792549220915053</v>
      </c>
      <c r="AX148" s="408">
        <f>AW148*Indeksacja!AX$61</f>
        <v>0.10907407703910281</v>
      </c>
      <c r="AY148" s="408">
        <f>AX148*Indeksacja!AY$61</f>
        <v>0.11024293076445839</v>
      </c>
      <c r="AZ148" s="408">
        <f>AY148*Indeksacja!AZ$61</f>
        <v>0.11143323104497098</v>
      </c>
      <c r="BA148" s="408">
        <f>AZ148*Indeksacja!BA$61</f>
        <v>0.11265365677272483</v>
      </c>
      <c r="BB148" s="408">
        <f>BA148*Indeksacja!BB$61</f>
        <v>0.11398867459184565</v>
      </c>
      <c r="BC148" s="408">
        <f>BB148*Indeksacja!BC$61</f>
        <v>0.11535119051998997</v>
      </c>
      <c r="BD148" s="408">
        <f>BC148*Indeksacja!BD$61</f>
        <v>0.11674310311086275</v>
      </c>
      <c r="BE148" s="408">
        <f>BD148*Indeksacja!BE$61</f>
        <v>0.11816493223517706</v>
      </c>
      <c r="BF148" s="408">
        <f>BE148*Indeksacja!BF$61</f>
        <v>0.11971267151792905</v>
      </c>
      <c r="BG148" s="408">
        <f>BF148*Indeksacja!BG$61</f>
        <v>0.12130267437127053</v>
      </c>
      <c r="BH148" s="408">
        <f>BG148*Indeksacja!BH$61</f>
        <v>0.12292806679334833</v>
      </c>
      <c r="BI148" s="408">
        <f>BH148*Indeksacja!BI$61</f>
        <v>0.12468154165996591</v>
      </c>
    </row>
    <row r="149" spans="1:61">
      <c r="A149" s="854"/>
      <c r="B149" s="402" t="s">
        <v>227</v>
      </c>
      <c r="C149" s="377"/>
      <c r="D149" s="377"/>
      <c r="E149" s="377"/>
      <c r="F149" s="377"/>
      <c r="G149" s="377"/>
      <c r="H149" s="377"/>
      <c r="I149" s="377"/>
      <c r="J149" s="377"/>
      <c r="K149" s="377"/>
      <c r="L149" s="377"/>
      <c r="M149" s="377"/>
      <c r="N149" s="377"/>
      <c r="O149" s="377"/>
      <c r="P149" s="413"/>
      <c r="Q149" s="374">
        <f>Q147*$B$90+Q148*$B$91</f>
        <v>2.3279178523270605E-2</v>
      </c>
      <c r="R149" s="374">
        <f>R147*$B$90+R148*$B$91</f>
        <v>2.471353326310816E-2</v>
      </c>
      <c r="S149" s="374">
        <f t="shared" ref="S149:BI149" si="65">S147*$B$90+S148*$B$91</f>
        <v>2.6294786444377067E-2</v>
      </c>
      <c r="T149" s="374">
        <f t="shared" si="65"/>
        <v>2.7868669976383452E-2</v>
      </c>
      <c r="U149" s="374">
        <f t="shared" si="65"/>
        <v>2.8351586634399226E-2</v>
      </c>
      <c r="V149" s="374">
        <f t="shared" si="65"/>
        <v>3.1450189810202638E-2</v>
      </c>
      <c r="W149" s="374">
        <f t="shared" si="65"/>
        <v>3.7596912041471336E-2</v>
      </c>
      <c r="X149" s="374">
        <f t="shared" si="65"/>
        <v>4.1950203862390449E-2</v>
      </c>
      <c r="Y149" s="374">
        <f t="shared" si="65"/>
        <v>4.3100024350613289E-2</v>
      </c>
      <c r="Z149" s="374">
        <f t="shared" si="65"/>
        <v>4.4490333542105708E-2</v>
      </c>
      <c r="AA149" s="374">
        <f t="shared" si="65"/>
        <v>4.5822256066401633E-2</v>
      </c>
      <c r="AB149" s="374">
        <f t="shared" si="65"/>
        <v>4.6956472365954911E-2</v>
      </c>
      <c r="AC149" s="374">
        <f t="shared" si="65"/>
        <v>4.8122841360396192E-2</v>
      </c>
      <c r="AD149" s="374">
        <f t="shared" si="65"/>
        <v>4.9286778027838908E-2</v>
      </c>
      <c r="AE149" s="374">
        <f t="shared" si="65"/>
        <v>5.0445897907676923E-2</v>
      </c>
      <c r="AF149" s="374">
        <f t="shared" si="65"/>
        <v>5.1533671810395851E-2</v>
      </c>
      <c r="AG149" s="374">
        <f t="shared" si="65"/>
        <v>5.2579096941678727E-2</v>
      </c>
      <c r="AH149" s="374">
        <f t="shared" si="65"/>
        <v>5.3660636917563911E-2</v>
      </c>
      <c r="AI149" s="374">
        <f t="shared" si="65"/>
        <v>5.4773402718896191E-2</v>
      </c>
      <c r="AJ149" s="374">
        <f t="shared" si="65"/>
        <v>5.5830039814618114E-2</v>
      </c>
      <c r="AK149" s="374">
        <f t="shared" si="65"/>
        <v>5.6870042787853341E-2</v>
      </c>
      <c r="AL149" s="374">
        <f t="shared" si="65"/>
        <v>5.7887941351626476E-2</v>
      </c>
      <c r="AM149" s="374">
        <f t="shared" si="65"/>
        <v>5.888412441774997E-2</v>
      </c>
      <c r="AN149" s="374">
        <f t="shared" si="65"/>
        <v>5.9808280111277895E-2</v>
      </c>
      <c r="AO149" s="374">
        <f t="shared" si="65"/>
        <v>6.0655372169487527E-2</v>
      </c>
      <c r="AP149" s="374">
        <f t="shared" si="65"/>
        <v>6.1469949112721398E-2</v>
      </c>
      <c r="AQ149" s="374">
        <f t="shared" si="65"/>
        <v>6.220041059271543E-2</v>
      </c>
      <c r="AR149" s="374">
        <f t="shared" si="65"/>
        <v>6.2890038317161751E-2</v>
      </c>
      <c r="AS149" s="374">
        <f t="shared" si="65"/>
        <v>6.35909662489412E-2</v>
      </c>
      <c r="AT149" s="374">
        <f t="shared" si="65"/>
        <v>6.4307171153444947E-2</v>
      </c>
      <c r="AU149" s="374">
        <f t="shared" si="65"/>
        <v>6.5034879963558376E-2</v>
      </c>
      <c r="AV149" s="374">
        <f t="shared" si="65"/>
        <v>6.5774215029719335E-2</v>
      </c>
      <c r="AW149" s="374">
        <f t="shared" si="65"/>
        <v>6.6526062027839367E-2</v>
      </c>
      <c r="AX149" s="374">
        <f t="shared" si="65"/>
        <v>6.7234058109928704E-2</v>
      </c>
      <c r="AY149" s="374">
        <f t="shared" si="65"/>
        <v>6.7954548087252917E-2</v>
      </c>
      <c r="AZ149" s="374">
        <f t="shared" si="65"/>
        <v>6.8688257877889583E-2</v>
      </c>
      <c r="BA149" s="374">
        <f t="shared" si="65"/>
        <v>6.94405372143376E-2</v>
      </c>
      <c r="BB149" s="374">
        <f t="shared" si="65"/>
        <v>7.026345195324829E-2</v>
      </c>
      <c r="BC149" s="374">
        <f t="shared" si="65"/>
        <v>7.1103316727494509E-2</v>
      </c>
      <c r="BD149" s="374">
        <f t="shared" si="65"/>
        <v>7.1961301819452983E-2</v>
      </c>
      <c r="BE149" s="374">
        <f t="shared" si="65"/>
        <v>7.2837727681230077E-2</v>
      </c>
      <c r="BF149" s="374">
        <f t="shared" si="65"/>
        <v>7.3791765484715333E-2</v>
      </c>
      <c r="BG149" s="374">
        <f t="shared" si="65"/>
        <v>7.4771854861939102E-2</v>
      </c>
      <c r="BH149" s="374">
        <f t="shared" si="65"/>
        <v>7.5773758627929622E-2</v>
      </c>
      <c r="BI149" s="374">
        <f t="shared" si="65"/>
        <v>7.6854613348654899E-2</v>
      </c>
    </row>
    <row r="150" spans="1:61">
      <c r="A150" s="854" t="s">
        <v>174</v>
      </c>
      <c r="B150" s="403" t="s">
        <v>208</v>
      </c>
      <c r="C150" s="409"/>
      <c r="D150" s="409"/>
      <c r="E150" s="409"/>
      <c r="F150" s="409"/>
      <c r="G150" s="409"/>
      <c r="H150" s="409"/>
      <c r="I150" s="409"/>
      <c r="J150" s="409"/>
      <c r="K150" s="409"/>
      <c r="L150" s="409"/>
      <c r="M150" s="409"/>
      <c r="N150" s="409"/>
      <c r="O150" s="409"/>
      <c r="P150" s="410"/>
      <c r="Q150" s="417">
        <f>AVERAGE(V35:V36)*$B$98*$Q$101*$Q$105/100</f>
        <v>5.9953424079760686E-3</v>
      </c>
      <c r="R150" s="414">
        <f>Q150*Indeksacja!R$61</f>
        <v>6.3647475307227015E-3</v>
      </c>
      <c r="S150" s="407">
        <f>R150*Indeksacja!S$61</f>
        <v>6.7719850217678387E-3</v>
      </c>
      <c r="T150" s="407">
        <f>S150*Indeksacja!T$61</f>
        <v>7.1773245261331046E-3</v>
      </c>
      <c r="U150" s="407">
        <f>T150*Indeksacja!U$61</f>
        <v>7.3016953546151259E-3</v>
      </c>
      <c r="V150" s="407">
        <f>U150*Indeksacja!V$61</f>
        <v>8.0997126474853694E-3</v>
      </c>
      <c r="W150" s="407">
        <f>V150*Indeksacja!W$61</f>
        <v>9.6827455034917079E-3</v>
      </c>
      <c r="X150" s="407">
        <f>W150*Indeksacja!X$61</f>
        <v>1.0803896537329173E-2</v>
      </c>
      <c r="Y150" s="407">
        <f>X150*Indeksacja!Y$61</f>
        <v>1.1100022430590877E-2</v>
      </c>
      <c r="Z150" s="407">
        <f>Y150*Indeksacja!Z$61</f>
        <v>1.1458084019732482E-2</v>
      </c>
      <c r="AA150" s="407">
        <f>Z150*Indeksacja!AA$61</f>
        <v>1.1801108649491967E-2</v>
      </c>
      <c r="AB150" s="407">
        <f>AA150*Indeksacja!AB$61</f>
        <v>1.2093215824740095E-2</v>
      </c>
      <c r="AC150" s="407">
        <f>AB150*Indeksacja!AC$61</f>
        <v>1.2393603636480616E-2</v>
      </c>
      <c r="AD150" s="407">
        <f>AC150*Indeksacja!AD$61</f>
        <v>1.2693365024346689E-2</v>
      </c>
      <c r="AE150" s="407">
        <f>AD150*Indeksacja!AE$61</f>
        <v>1.2991885892021391E-2</v>
      </c>
      <c r="AF150" s="407">
        <f>AE150*Indeksacja!AF$61</f>
        <v>1.3272032246960042E-2</v>
      </c>
      <c r="AG150" s="407">
        <f>AF150*Indeksacja!AG$61</f>
        <v>1.3541272057878575E-2</v>
      </c>
      <c r="AH150" s="407">
        <f>AG150*Indeksacja!AH$61</f>
        <v>1.3819812921202601E-2</v>
      </c>
      <c r="AI150" s="407">
        <f>AH150*Indeksacja!AI$61</f>
        <v>1.4106395714156568E-2</v>
      </c>
      <c r="AJ150" s="407">
        <f>AI150*Indeksacja!AJ$61</f>
        <v>1.4378523065363991E-2</v>
      </c>
      <c r="AK150" s="407">
        <f>AJ150*Indeksacja!AK$61</f>
        <v>1.4646366448395117E-2</v>
      </c>
      <c r="AL150" s="407">
        <f>AK150*Indeksacja!AL$61</f>
        <v>1.4908517040191414E-2</v>
      </c>
      <c r="AM150" s="407">
        <f>AL150*Indeksacja!AM$61</f>
        <v>1.5165075001481482E-2</v>
      </c>
      <c r="AN150" s="407">
        <f>AM150*Indeksacja!AN$61</f>
        <v>1.5403082962777965E-2</v>
      </c>
      <c r="AO150" s="407">
        <f>AN150*Indeksacja!AO$61</f>
        <v>1.5621243880052911E-2</v>
      </c>
      <c r="AP150" s="407">
        <f>AO150*Indeksacja!AP$61</f>
        <v>1.5831030822811551E-2</v>
      </c>
      <c r="AQ150" s="407">
        <f>AP150*Indeksacja!AQ$61</f>
        <v>1.6019154586887824E-2</v>
      </c>
      <c r="AR150" s="407">
        <f>AQ150*Indeksacja!AR$61</f>
        <v>1.619676198561781E-2</v>
      </c>
      <c r="AS150" s="407">
        <f>AR150*Indeksacja!AS$61</f>
        <v>1.6377279650797945E-2</v>
      </c>
      <c r="AT150" s="407">
        <f>AS150*Indeksacja!AT$61</f>
        <v>1.6561731762477033E-2</v>
      </c>
      <c r="AU150" s="407">
        <f>AT150*Indeksacja!AU$61</f>
        <v>1.6749146601259667E-2</v>
      </c>
      <c r="AV150" s="407">
        <f>AU150*Indeksacja!AV$61</f>
        <v>1.6939555677397283E-2</v>
      </c>
      <c r="AW150" s="407">
        <f>AV150*Indeksacja!AW$61</f>
        <v>1.7133187088730489E-2</v>
      </c>
      <c r="AX150" s="407">
        <f>AW150*Indeksacja!AX$61</f>
        <v>1.7315525092255309E-2</v>
      </c>
      <c r="AY150" s="407">
        <f>AX150*Indeksacja!AY$61</f>
        <v>1.7501080785780131E-2</v>
      </c>
      <c r="AZ150" s="407">
        <f>AY150*Indeksacja!AZ$61</f>
        <v>1.7690041122956721E-2</v>
      </c>
      <c r="BA150" s="407">
        <f>AZ150*Indeksacja!BA$61</f>
        <v>1.7883783879125814E-2</v>
      </c>
      <c r="BB150" s="407">
        <f>BA150*Indeksacja!BB$61</f>
        <v>1.8095718145938883E-2</v>
      </c>
      <c r="BC150" s="407">
        <f>BB150*Indeksacja!BC$61</f>
        <v>1.8312017741432342E-2</v>
      </c>
      <c r="BD150" s="407">
        <f>BC150*Indeksacja!BD$61</f>
        <v>1.8532984061274255E-2</v>
      </c>
      <c r="BE150" s="407">
        <f>BD150*Indeksacja!BE$61</f>
        <v>1.8758699635013538E-2</v>
      </c>
      <c r="BF150" s="407">
        <f>BE150*Indeksacja!BF$61</f>
        <v>1.9004403464138342E-2</v>
      </c>
      <c r="BG150" s="407">
        <f>BF150*Indeksacja!BG$61</f>
        <v>1.9256816641046743E-2</v>
      </c>
      <c r="BH150" s="407">
        <f>BG150*Indeksacja!BH$61</f>
        <v>1.9514847916976406E-2</v>
      </c>
      <c r="BI150" s="407">
        <f>BH150*Indeksacja!BI$61</f>
        <v>1.9793212299016243E-2</v>
      </c>
    </row>
    <row r="151" spans="1:61">
      <c r="A151" s="854"/>
      <c r="B151" s="404" t="s">
        <v>209</v>
      </c>
      <c r="C151" s="411"/>
      <c r="D151" s="411"/>
      <c r="E151" s="411"/>
      <c r="F151" s="411"/>
      <c r="G151" s="411"/>
      <c r="H151" s="411"/>
      <c r="I151" s="411"/>
      <c r="J151" s="411"/>
      <c r="K151" s="411"/>
      <c r="L151" s="411"/>
      <c r="M151" s="411"/>
      <c r="N151" s="411"/>
      <c r="O151" s="411"/>
      <c r="P151" s="412"/>
      <c r="Q151" s="418">
        <f>AVERAGE(V37:V38)*$B$98*$Q$101*$Q$105/100</f>
        <v>1.0926160393327534E-2</v>
      </c>
      <c r="R151" s="415">
        <f>Q151*Indeksacja!R$61</f>
        <v>1.1599379593598217E-2</v>
      </c>
      <c r="S151" s="408">
        <f>R151*Indeksacja!S$61</f>
        <v>1.2341546069263708E-2</v>
      </c>
      <c r="T151" s="408">
        <f>S151*Indeksacja!T$61</f>
        <v>1.308025357536958E-2</v>
      </c>
      <c r="U151" s="408">
        <f>T151*Indeksacja!U$61</f>
        <v>1.3306912125920046E-2</v>
      </c>
      <c r="V151" s="408">
        <f>U151*Indeksacja!V$61</f>
        <v>1.4761251902568899E-2</v>
      </c>
      <c r="W151" s="408">
        <f>V151*Indeksacja!W$61</f>
        <v>1.7646236564933103E-2</v>
      </c>
      <c r="X151" s="408">
        <f>W151*Indeksacja!X$61</f>
        <v>1.9689468658659087E-2</v>
      </c>
      <c r="Y151" s="408">
        <f>X151*Indeksacja!Y$61</f>
        <v>2.0229140755133563E-2</v>
      </c>
      <c r="Z151" s="408">
        <f>Y151*Indeksacja!Z$61</f>
        <v>2.0881687029796068E-2</v>
      </c>
      <c r="AA151" s="408">
        <f>Z151*Indeksacja!AA$61</f>
        <v>2.1506829326694364E-2</v>
      </c>
      <c r="AB151" s="408">
        <f>AA151*Indeksacja!AB$61</f>
        <v>2.2039177544964074E-2</v>
      </c>
      <c r="AC151" s="408">
        <f>AB151*Indeksacja!AC$61</f>
        <v>2.2586616738247047E-2</v>
      </c>
      <c r="AD151" s="408">
        <f>AC151*Indeksacja!AD$61</f>
        <v>2.3132914310708276E-2</v>
      </c>
      <c r="AE151" s="408">
        <f>AD151*Indeksacja!AE$61</f>
        <v>2.3676951107777584E-2</v>
      </c>
      <c r="AF151" s="408">
        <f>AE151*Indeksacja!AF$61</f>
        <v>2.4187501431574533E-2</v>
      </c>
      <c r="AG151" s="408">
        <f>AF151*Indeksacja!AG$61</f>
        <v>2.4678175217687469E-2</v>
      </c>
      <c r="AH151" s="408">
        <f>AG151*Indeksacja!AH$61</f>
        <v>2.5185799627049872E-2</v>
      </c>
      <c r="AI151" s="408">
        <f>AH151*Indeksacja!AI$61</f>
        <v>2.57080799821497E-2</v>
      </c>
      <c r="AJ151" s="408">
        <f>AI151*Indeksacja!AJ$61</f>
        <v>2.6204016141316865E-2</v>
      </c>
      <c r="AK151" s="408">
        <f>AJ151*Indeksacja!AK$61</f>
        <v>2.6692145019393321E-2</v>
      </c>
      <c r="AL151" s="408">
        <f>AK151*Indeksacja!AL$61</f>
        <v>2.7169899118869186E-2</v>
      </c>
      <c r="AM151" s="408">
        <f>AL151*Indeksacja!AM$61</f>
        <v>2.7637460976805955E-2</v>
      </c>
      <c r="AN151" s="408">
        <f>AM151*Indeksacja!AN$61</f>
        <v>2.8071216546221741E-2</v>
      </c>
      <c r="AO151" s="408">
        <f>AN151*Indeksacja!AO$61</f>
        <v>2.8468802040343032E-2</v>
      </c>
      <c r="AP151" s="408">
        <f>AO151*Indeksacja!AP$61</f>
        <v>2.885112645636926E-2</v>
      </c>
      <c r="AQ151" s="408">
        <f>AP151*Indeksacja!AQ$61</f>
        <v>2.9193970998052033E-2</v>
      </c>
      <c r="AR151" s="408">
        <f>AQ151*Indeksacja!AR$61</f>
        <v>2.9517650079831221E-2</v>
      </c>
      <c r="AS151" s="408">
        <f>AR151*Indeksacja!AS$61</f>
        <v>2.9846632951762465E-2</v>
      </c>
      <c r="AT151" s="408">
        <f>AS151*Indeksacja!AT$61</f>
        <v>3.0182786121998831E-2</v>
      </c>
      <c r="AU151" s="408">
        <f>AT151*Indeksacja!AU$61</f>
        <v>3.0524338688855467E-2</v>
      </c>
      <c r="AV151" s="408">
        <f>AU151*Indeksacja!AV$61</f>
        <v>3.0871348077920073E-2</v>
      </c>
      <c r="AW151" s="408">
        <f>AV151*Indeksacja!AW$61</f>
        <v>3.1224229984147547E-2</v>
      </c>
      <c r="AX151" s="408">
        <f>AW151*Indeksacja!AX$61</f>
        <v>3.1556530316095371E-2</v>
      </c>
      <c r="AY151" s="408">
        <f>AX151*Indeksacja!AY$61</f>
        <v>3.1894694699609163E-2</v>
      </c>
      <c r="AZ151" s="408">
        <f>AY151*Indeksacja!AZ$61</f>
        <v>3.2239063846769458E-2</v>
      </c>
      <c r="BA151" s="408">
        <f>AZ151*Indeksacja!BA$61</f>
        <v>3.2592148672438905E-2</v>
      </c>
      <c r="BB151" s="408">
        <f>BA151*Indeksacja!BB$61</f>
        <v>3.2978386460786276E-2</v>
      </c>
      <c r="BC151" s="408">
        <f>BB151*Indeksacja!BC$61</f>
        <v>3.3372579804977813E-2</v>
      </c>
      <c r="BD151" s="408">
        <f>BC151*Indeksacja!BD$61</f>
        <v>3.3775277980965912E-2</v>
      </c>
      <c r="BE151" s="408">
        <f>BD151*Indeksacja!BE$61</f>
        <v>3.4186631394019742E-2</v>
      </c>
      <c r="BF151" s="408">
        <f>BE151*Indeksacja!BF$61</f>
        <v>3.4634412231808222E-2</v>
      </c>
      <c r="BG151" s="408">
        <f>BF151*Indeksacja!BG$61</f>
        <v>3.5094420462968047E-2</v>
      </c>
      <c r="BH151" s="408">
        <f>BG151*Indeksacja!BH$61</f>
        <v>3.5564667350543928E-2</v>
      </c>
      <c r="BI151" s="408">
        <f>BH151*Indeksacja!BI$61</f>
        <v>3.607197013310235E-2</v>
      </c>
    </row>
    <row r="152" spans="1:61">
      <c r="A152" s="854"/>
      <c r="B152" s="402" t="s">
        <v>227</v>
      </c>
      <c r="C152" s="377"/>
      <c r="D152" s="377"/>
      <c r="E152" s="377"/>
      <c r="F152" s="377"/>
      <c r="G152" s="377"/>
      <c r="H152" s="377"/>
      <c r="I152" s="377"/>
      <c r="J152" s="377"/>
      <c r="K152" s="377"/>
      <c r="L152" s="377"/>
      <c r="M152" s="377"/>
      <c r="N152" s="377"/>
      <c r="O152" s="377"/>
      <c r="P152" s="413"/>
      <c r="Q152" s="374">
        <f>Q150*$B$90+Q151*$B$91</f>
        <v>6.7349651057787884E-3</v>
      </c>
      <c r="R152" s="374">
        <f>R150*$B$90+R151*$B$91</f>
        <v>7.1499423401540294E-3</v>
      </c>
      <c r="S152" s="374">
        <f t="shared" ref="S152:BI152" si="66">S150*$B$90+S151*$B$91</f>
        <v>7.6074191788922194E-3</v>
      </c>
      <c r="T152" s="374">
        <f t="shared" si="66"/>
        <v>8.0627638835185748E-3</v>
      </c>
      <c r="U152" s="374">
        <f t="shared" si="66"/>
        <v>8.202477870310863E-3</v>
      </c>
      <c r="V152" s="374">
        <f t="shared" si="66"/>
        <v>9.0989435357478991E-3</v>
      </c>
      <c r="W152" s="374">
        <f t="shared" si="66"/>
        <v>1.0877269162707918E-2</v>
      </c>
      <c r="X152" s="374">
        <f t="shared" si="66"/>
        <v>1.2136732355528661E-2</v>
      </c>
      <c r="Y152" s="374">
        <f t="shared" si="66"/>
        <v>1.246939017927228E-2</v>
      </c>
      <c r="Z152" s="374">
        <f t="shared" si="66"/>
        <v>1.2871624471242019E-2</v>
      </c>
      <c r="AA152" s="374">
        <f t="shared" si="66"/>
        <v>1.3256966751072326E-2</v>
      </c>
      <c r="AB152" s="374">
        <f t="shared" si="66"/>
        <v>1.3585110082773692E-2</v>
      </c>
      <c r="AC152" s="374">
        <f t="shared" si="66"/>
        <v>1.3922555601745582E-2</v>
      </c>
      <c r="AD152" s="374">
        <f t="shared" si="66"/>
        <v>1.4259297417300927E-2</v>
      </c>
      <c r="AE152" s="374">
        <f t="shared" si="66"/>
        <v>1.4594645674384819E-2</v>
      </c>
      <c r="AF152" s="374">
        <f t="shared" si="66"/>
        <v>1.4909352624652216E-2</v>
      </c>
      <c r="AG152" s="374">
        <f t="shared" si="66"/>
        <v>1.5211807531849909E-2</v>
      </c>
      <c r="AH152" s="374">
        <f t="shared" si="66"/>
        <v>1.5524710927079691E-2</v>
      </c>
      <c r="AI152" s="374">
        <f t="shared" si="66"/>
        <v>1.5846648354355536E-2</v>
      </c>
      <c r="AJ152" s="374">
        <f t="shared" si="66"/>
        <v>1.6152347026756921E-2</v>
      </c>
      <c r="AK152" s="374">
        <f t="shared" si="66"/>
        <v>1.6453233234044847E-2</v>
      </c>
      <c r="AL152" s="374">
        <f t="shared" si="66"/>
        <v>1.6747724351993079E-2</v>
      </c>
      <c r="AM152" s="374">
        <f t="shared" si="66"/>
        <v>1.7035932897780152E-2</v>
      </c>
      <c r="AN152" s="374">
        <f t="shared" si="66"/>
        <v>1.7303303000294531E-2</v>
      </c>
      <c r="AO152" s="374">
        <f t="shared" si="66"/>
        <v>1.754837760409643E-2</v>
      </c>
      <c r="AP152" s="374">
        <f t="shared" si="66"/>
        <v>1.7784045167845208E-2</v>
      </c>
      <c r="AQ152" s="374">
        <f t="shared" si="66"/>
        <v>1.7995377048562456E-2</v>
      </c>
      <c r="AR152" s="374">
        <f t="shared" si="66"/>
        <v>1.8194895199749823E-2</v>
      </c>
      <c r="AS152" s="374">
        <f t="shared" si="66"/>
        <v>1.8397682645942624E-2</v>
      </c>
      <c r="AT152" s="374">
        <f t="shared" si="66"/>
        <v>1.8604889916405305E-2</v>
      </c>
      <c r="AU152" s="374">
        <f t="shared" si="66"/>
        <v>1.8815425414399036E-2</v>
      </c>
      <c r="AV152" s="374">
        <f t="shared" si="66"/>
        <v>1.9029324537475703E-2</v>
      </c>
      <c r="AW152" s="374">
        <f t="shared" si="66"/>
        <v>1.9246843523043049E-2</v>
      </c>
      <c r="AX152" s="374">
        <f t="shared" si="66"/>
        <v>1.9451675875831319E-2</v>
      </c>
      <c r="AY152" s="374">
        <f t="shared" si="66"/>
        <v>1.9660122872854485E-2</v>
      </c>
      <c r="AZ152" s="374">
        <f t="shared" si="66"/>
        <v>1.9872394531528632E-2</v>
      </c>
      <c r="BA152" s="374">
        <f t="shared" si="66"/>
        <v>2.0090038598122778E-2</v>
      </c>
      <c r="BB152" s="374">
        <f t="shared" si="66"/>
        <v>2.0328118393165992E-2</v>
      </c>
      <c r="BC152" s="374">
        <f t="shared" si="66"/>
        <v>2.0571102050964164E-2</v>
      </c>
      <c r="BD152" s="374">
        <f t="shared" si="66"/>
        <v>2.0819328149228003E-2</v>
      </c>
      <c r="BE152" s="374">
        <f t="shared" si="66"/>
        <v>2.1072889398864467E-2</v>
      </c>
      <c r="BF152" s="374">
        <f t="shared" si="66"/>
        <v>2.1348904779288826E-2</v>
      </c>
      <c r="BG152" s="374">
        <f t="shared" si="66"/>
        <v>2.1632457214334939E-2</v>
      </c>
      <c r="BH152" s="374">
        <f t="shared" si="66"/>
        <v>2.1922320832011535E-2</v>
      </c>
      <c r="BI152" s="374">
        <f t="shared" si="66"/>
        <v>2.2235025974129158E-2</v>
      </c>
    </row>
    <row r="153" spans="1:61">
      <c r="A153" s="854" t="s">
        <v>695</v>
      </c>
      <c r="B153" s="403" t="s">
        <v>208</v>
      </c>
      <c r="C153" s="409"/>
      <c r="D153" s="409"/>
      <c r="E153" s="409"/>
      <c r="F153" s="409"/>
      <c r="G153" s="409"/>
      <c r="H153" s="409"/>
      <c r="I153" s="409"/>
      <c r="J153" s="409"/>
      <c r="K153" s="409"/>
      <c r="L153" s="409"/>
      <c r="M153" s="409"/>
      <c r="N153" s="409"/>
      <c r="O153" s="409"/>
      <c r="P153" s="410"/>
      <c r="Q153" s="417">
        <f>AVERAGE(V39:V40)*$B$98*$Q$101*$Q$105/100</f>
        <v>1.8904724732570367E-2</v>
      </c>
      <c r="R153" s="414">
        <f>Q153*Indeksacja!R$61</f>
        <v>2.0069545969641958E-2</v>
      </c>
      <c r="S153" s="407">
        <f>R153*Indeksacja!S$61</f>
        <v>2.1353661562230751E-2</v>
      </c>
      <c r="T153" s="407">
        <f>S153*Indeksacja!T$61</f>
        <v>2.2631792356406475E-2</v>
      </c>
      <c r="U153" s="407">
        <f>T153*Indeksacja!U$61</f>
        <v>2.3023962830954578E-2</v>
      </c>
      <c r="V153" s="407">
        <f>U153*Indeksacja!V$61</f>
        <v>2.5540299051129839E-2</v>
      </c>
      <c r="W153" s="407">
        <f>V153*Indeksacja!W$61</f>
        <v>3.0531973979587734E-2</v>
      </c>
      <c r="X153" s="407">
        <f>W153*Indeksacja!X$61</f>
        <v>3.4067226886934032E-2</v>
      </c>
      <c r="Y153" s="407">
        <f>X153*Indeksacja!Y$61</f>
        <v>3.5000981477973127E-2</v>
      </c>
      <c r="Z153" s="407">
        <f>Y153*Indeksacja!Z$61</f>
        <v>3.6130033885559278E-2</v>
      </c>
      <c r="AA153" s="407">
        <f>Z153*Indeksacja!AA$61</f>
        <v>3.7211671223481416E-2</v>
      </c>
      <c r="AB153" s="407">
        <f>AA153*Indeksacja!AB$61</f>
        <v>3.8132753851410711E-2</v>
      </c>
      <c r="AC153" s="407">
        <f>AB153*Indeksacja!AC$61</f>
        <v>3.9079947273827895E-2</v>
      </c>
      <c r="AD153" s="407">
        <f>AC153*Indeksacja!AD$61</f>
        <v>4.0025165434432408E-2</v>
      </c>
      <c r="AE153" s="407">
        <f>AD153*Indeksacja!AE$61</f>
        <v>4.0966471943099929E-2</v>
      </c>
      <c r="AF153" s="407">
        <f>AE153*Indeksacja!AF$61</f>
        <v>4.1849839291377214E-2</v>
      </c>
      <c r="AG153" s="407">
        <f>AF153*Indeksacja!AG$61</f>
        <v>4.2698815741111375E-2</v>
      </c>
      <c r="AH153" s="407">
        <f>AG153*Indeksacja!AH$61</f>
        <v>4.3577120596711913E-2</v>
      </c>
      <c r="AI153" s="407">
        <f>AH153*Indeksacja!AI$61</f>
        <v>4.4480783547918547E-2</v>
      </c>
      <c r="AJ153" s="407">
        <f>AI153*Indeksacja!AJ$61</f>
        <v>4.5338865091340601E-2</v>
      </c>
      <c r="AK153" s="407">
        <f>AJ153*Indeksacja!AK$61</f>
        <v>4.6183438275502274E-2</v>
      </c>
      <c r="AL153" s="407">
        <f>AK153*Indeksacja!AL$61</f>
        <v>4.7010060749941129E-2</v>
      </c>
      <c r="AM153" s="407">
        <f>AL153*Indeksacja!AM$61</f>
        <v>4.7819048344992517E-2</v>
      </c>
      <c r="AN153" s="407">
        <f>AM153*Indeksacja!AN$61</f>
        <v>4.8569543427055599E-2</v>
      </c>
      <c r="AO153" s="407">
        <f>AN153*Indeksacja!AO$61</f>
        <v>4.9257456111242083E-2</v>
      </c>
      <c r="AP153" s="407">
        <f>AO153*Indeksacja!AP$61</f>
        <v>4.9918963684197945E-2</v>
      </c>
      <c r="AQ153" s="407">
        <f>AP153*Indeksacja!AQ$61</f>
        <v>5.0512162159531984E-2</v>
      </c>
      <c r="AR153" s="407">
        <f>AQ153*Indeksacja!AR$61</f>
        <v>5.107220006145255E-2</v>
      </c>
      <c r="AS153" s="407">
        <f>AR153*Indeksacja!AS$61</f>
        <v>5.164141471799271E-2</v>
      </c>
      <c r="AT153" s="407">
        <f>AS153*Indeksacja!AT$61</f>
        <v>5.2223035609736179E-2</v>
      </c>
      <c r="AU153" s="407">
        <f>AT153*Indeksacja!AU$61</f>
        <v>5.2813998676878297E-2</v>
      </c>
      <c r="AV153" s="407">
        <f>AU153*Indeksacja!AV$61</f>
        <v>5.3414403278653128E-2</v>
      </c>
      <c r="AW153" s="407">
        <f>AV153*Indeksacja!AW$61</f>
        <v>5.4024968661201336E-2</v>
      </c>
      <c r="AX153" s="407">
        <f>AW153*Indeksacja!AX$61</f>
        <v>5.4599923272690636E-2</v>
      </c>
      <c r="AY153" s="407">
        <f>AX153*Indeksacja!AY$61</f>
        <v>5.5185024017559044E-2</v>
      </c>
      <c r="AZ153" s="407">
        <f>AY153*Indeksacja!AZ$61</f>
        <v>5.5780860404642571E-2</v>
      </c>
      <c r="BA153" s="407">
        <f>AZ153*Indeksacja!BA$61</f>
        <v>5.6391776883646924E-2</v>
      </c>
      <c r="BB153" s="407">
        <f>BA153*Indeksacja!BB$61</f>
        <v>5.7060055474402634E-2</v>
      </c>
      <c r="BC153" s="407">
        <f>BB153*Indeksacja!BC$61</f>
        <v>5.7742098973224347E-2</v>
      </c>
      <c r="BD153" s="407">
        <f>BC153*Indeksacja!BD$61</f>
        <v>5.8438857751542506E-2</v>
      </c>
      <c r="BE153" s="407">
        <f>BD153*Indeksacja!BE$61</f>
        <v>5.9150592044436012E-2</v>
      </c>
      <c r="BF153" s="407">
        <f>BE153*Indeksacja!BF$61</f>
        <v>5.992535400785004E-2</v>
      </c>
      <c r="BG153" s="407">
        <f>BF153*Indeksacja!BG$61</f>
        <v>6.0721272122881906E-2</v>
      </c>
      <c r="BH153" s="407">
        <f>BG153*Indeksacja!BH$61</f>
        <v>6.1534905425519391E-2</v>
      </c>
      <c r="BI153" s="407">
        <f>BH153*Indeksacja!BI$61</f>
        <v>6.2412653794122024E-2</v>
      </c>
    </row>
    <row r="154" spans="1:61">
      <c r="A154" s="854"/>
      <c r="B154" s="404" t="s">
        <v>209</v>
      </c>
      <c r="C154" s="411"/>
      <c r="D154" s="411"/>
      <c r="E154" s="411"/>
      <c r="F154" s="411"/>
      <c r="G154" s="411"/>
      <c r="H154" s="411"/>
      <c r="I154" s="411"/>
      <c r="J154" s="411"/>
      <c r="K154" s="411"/>
      <c r="L154" s="411"/>
      <c r="M154" s="411"/>
      <c r="N154" s="411"/>
      <c r="O154" s="411"/>
      <c r="P154" s="412"/>
      <c r="Q154" s="418">
        <f>AVERAGE(V41:V42)*$B$98*$Q$101*$Q$105/100</f>
        <v>3.4377514821381794E-2</v>
      </c>
      <c r="R154" s="415">
        <f>Q154*Indeksacja!R$61</f>
        <v>3.6495697440179671E-2</v>
      </c>
      <c r="S154" s="408">
        <f>R154*Indeksacja!S$61</f>
        <v>3.8830812256241139E-2</v>
      </c>
      <c r="T154" s="408">
        <f>S154*Indeksacja!T$61</f>
        <v>4.1155043946572996E-2</v>
      </c>
      <c r="U154" s="408">
        <f>T154*Indeksacja!U$61</f>
        <v>4.1868190871058926E-2</v>
      </c>
      <c r="V154" s="408">
        <f>U154*Indeksacja!V$61</f>
        <v>4.6444051505285321E-2</v>
      </c>
      <c r="W154" s="408">
        <f>V154*Indeksacja!W$61</f>
        <v>5.5521220375188751E-2</v>
      </c>
      <c r="X154" s="408">
        <f>W154*Indeksacja!X$61</f>
        <v>6.1949941815932323E-2</v>
      </c>
      <c r="Y154" s="408">
        <f>X154*Indeksacja!Y$61</f>
        <v>6.3647938626098799E-2</v>
      </c>
      <c r="Z154" s="408">
        <f>Y154*Indeksacja!Z$61</f>
        <v>6.5701077004201622E-2</v>
      </c>
      <c r="AA154" s="408">
        <f>Z154*Indeksacja!AA$61</f>
        <v>6.7667992901776955E-2</v>
      </c>
      <c r="AB154" s="408">
        <f>AA154*Indeksacja!AB$61</f>
        <v>6.9342946234411465E-2</v>
      </c>
      <c r="AC154" s="408">
        <f>AB154*Indeksacja!AC$61</f>
        <v>7.1065381042560868E-2</v>
      </c>
      <c r="AD154" s="408">
        <f>AC154*Indeksacja!AD$61</f>
        <v>7.2784223913075541E-2</v>
      </c>
      <c r="AE154" s="408">
        <f>AD154*Indeksacja!AE$61</f>
        <v>7.4495953594990949E-2</v>
      </c>
      <c r="AF154" s="408">
        <f>AE154*Indeksacja!AF$61</f>
        <v>7.6102323142165945E-2</v>
      </c>
      <c r="AG154" s="408">
        <f>AF154*Indeksacja!AG$61</f>
        <v>7.7646154163067138E-2</v>
      </c>
      <c r="AH154" s="408">
        <f>AG154*Indeksacja!AH$61</f>
        <v>7.9243317762020732E-2</v>
      </c>
      <c r="AI154" s="408">
        <f>AH154*Indeksacja!AI$61</f>
        <v>8.0886594082522634E-2</v>
      </c>
      <c r="AJ154" s="408">
        <f>AI154*Indeksacja!AJ$61</f>
        <v>8.2446982366099361E-2</v>
      </c>
      <c r="AK154" s="408">
        <f>AJ154*Indeksacja!AK$61</f>
        <v>8.3982806217913361E-2</v>
      </c>
      <c r="AL154" s="408">
        <f>AK154*Indeksacja!AL$61</f>
        <v>8.5485987394508328E-2</v>
      </c>
      <c r="AM154" s="408">
        <f>AL154*Indeksacja!AM$61</f>
        <v>8.6957100221201775E-2</v>
      </c>
      <c r="AN154" s="408">
        <f>AM154*Indeksacja!AN$61</f>
        <v>8.8321846662738027E-2</v>
      </c>
      <c r="AO154" s="408">
        <f>AN154*Indeksacja!AO$61</f>
        <v>8.9572789420750989E-2</v>
      </c>
      <c r="AP154" s="408">
        <f>AO154*Indeksacja!AP$61</f>
        <v>9.0775715499572265E-2</v>
      </c>
      <c r="AQ154" s="408">
        <f>AP154*Indeksacja!AQ$61</f>
        <v>9.1854424111641242E-2</v>
      </c>
      <c r="AR154" s="408">
        <f>AQ154*Indeksacja!AR$61</f>
        <v>9.287283149636448E-2</v>
      </c>
      <c r="AS154" s="408">
        <f>AR154*Indeksacja!AS$61</f>
        <v>9.3907926456411356E-2</v>
      </c>
      <c r="AT154" s="408">
        <f>AS154*Indeksacja!AT$61</f>
        <v>9.4965581678012556E-2</v>
      </c>
      <c r="AU154" s="408">
        <f>AT154*Indeksacja!AU$61</f>
        <v>9.6040225286261757E-2</v>
      </c>
      <c r="AV154" s="408">
        <f>AU154*Indeksacja!AV$61</f>
        <v>9.7132037962104609E-2</v>
      </c>
      <c r="AW154" s="408">
        <f>AV154*Indeksacja!AW$61</f>
        <v>9.824232762698458E-2</v>
      </c>
      <c r="AX154" s="408">
        <f>AW154*Indeksacja!AX$61</f>
        <v>9.9287860474338963E-2</v>
      </c>
      <c r="AY154" s="408">
        <f>AX154*Indeksacja!AY$61</f>
        <v>0.10035184367500737</v>
      </c>
      <c r="AZ154" s="408">
        <f>AY154*Indeksacja!AZ$61</f>
        <v>0.10143534922813464</v>
      </c>
      <c r="BA154" s="408">
        <f>AZ154*Indeksacja!BA$61</f>
        <v>0.10254627734841641</v>
      </c>
      <c r="BB154" s="408">
        <f>BA154*Indeksacja!BB$61</f>
        <v>0.10376151626268296</v>
      </c>
      <c r="BC154" s="408">
        <f>BB154*Indeksacja!BC$61</f>
        <v>0.10500178613284798</v>
      </c>
      <c r="BD154" s="408">
        <f>BC154*Indeksacja!BD$61</f>
        <v>0.10626881517280501</v>
      </c>
      <c r="BE154" s="408">
        <f>BD154*Indeksacja!BE$61</f>
        <v>0.10756307661003597</v>
      </c>
      <c r="BF154" s="408">
        <f>BE154*Indeksacja!BF$61</f>
        <v>0.10897195144196732</v>
      </c>
      <c r="BG154" s="408">
        <f>BF154*Indeksacja!BG$61</f>
        <v>0.11041929792191758</v>
      </c>
      <c r="BH154" s="408">
        <f>BG154*Indeksacja!BH$61</f>
        <v>0.1118988587891753</v>
      </c>
      <c r="BI154" s="408">
        <f>BH154*Indeksacja!BI$61</f>
        <v>0.11349501043792655</v>
      </c>
    </row>
    <row r="155" spans="1:61">
      <c r="A155" s="854"/>
      <c r="B155" s="402" t="s">
        <v>227</v>
      </c>
      <c r="C155" s="377"/>
      <c r="D155" s="377"/>
      <c r="E155" s="377"/>
      <c r="F155" s="377"/>
      <c r="G155" s="377"/>
      <c r="H155" s="377"/>
      <c r="I155" s="377"/>
      <c r="J155" s="377"/>
      <c r="K155" s="377"/>
      <c r="L155" s="377"/>
      <c r="M155" s="377"/>
      <c r="N155" s="377"/>
      <c r="O155" s="377"/>
      <c r="P155" s="413"/>
      <c r="Q155" s="374">
        <f>Q153*$B$90+Q154*$B$91</f>
        <v>2.122564324589208E-2</v>
      </c>
      <c r="R155" s="374">
        <f>R153*$B$90+R154*$B$91</f>
        <v>2.2533468690222616E-2</v>
      </c>
      <c r="S155" s="374">
        <f t="shared" ref="S155:BI155" si="67">S153*$B$90+S154*$B$91</f>
        <v>2.3975234166332307E-2</v>
      </c>
      <c r="T155" s="374">
        <f t="shared" si="67"/>
        <v>2.5410280094931452E-2</v>
      </c>
      <c r="U155" s="374">
        <f t="shared" si="67"/>
        <v>2.5850597036970232E-2</v>
      </c>
      <c r="V155" s="374">
        <f t="shared" si="67"/>
        <v>2.8675861919253164E-2</v>
      </c>
      <c r="W155" s="374">
        <f t="shared" si="67"/>
        <v>3.428036093892789E-2</v>
      </c>
      <c r="X155" s="374">
        <f t="shared" si="67"/>
        <v>3.824963412628378E-2</v>
      </c>
      <c r="Y155" s="374">
        <f t="shared" si="67"/>
        <v>3.9298025050191976E-2</v>
      </c>
      <c r="Z155" s="374">
        <f t="shared" si="67"/>
        <v>4.0565690353355624E-2</v>
      </c>
      <c r="AA155" s="374">
        <f t="shared" si="67"/>
        <v>4.1780119475225745E-2</v>
      </c>
      <c r="AB155" s="374">
        <f t="shared" si="67"/>
        <v>4.2814282708860826E-2</v>
      </c>
      <c r="AC155" s="374">
        <f t="shared" si="67"/>
        <v>4.3877762339137844E-2</v>
      </c>
      <c r="AD155" s="374">
        <f t="shared" si="67"/>
        <v>4.4939024206228875E-2</v>
      </c>
      <c r="AE155" s="374">
        <f t="shared" si="67"/>
        <v>4.5995894190883582E-2</v>
      </c>
      <c r="AF155" s="374">
        <f t="shared" si="67"/>
        <v>4.6987711868995523E-2</v>
      </c>
      <c r="AG155" s="374">
        <f t="shared" si="67"/>
        <v>4.794091650440474E-2</v>
      </c>
      <c r="AH155" s="374">
        <f t="shared" si="67"/>
        <v>4.8927050171508238E-2</v>
      </c>
      <c r="AI155" s="374">
        <f t="shared" si="67"/>
        <v>4.9941655128109157E-2</v>
      </c>
      <c r="AJ155" s="374">
        <f t="shared" si="67"/>
        <v>5.090508268255442E-2</v>
      </c>
      <c r="AK155" s="374">
        <f t="shared" si="67"/>
        <v>5.1853343466863933E-2</v>
      </c>
      <c r="AL155" s="374">
        <f t="shared" si="67"/>
        <v>5.2781449746626206E-2</v>
      </c>
      <c r="AM155" s="374">
        <f t="shared" si="67"/>
        <v>5.3689756126423904E-2</v>
      </c>
      <c r="AN155" s="374">
        <f t="shared" si="67"/>
        <v>5.453238891240797E-2</v>
      </c>
      <c r="AO155" s="374">
        <f t="shared" si="67"/>
        <v>5.5304756107668412E-2</v>
      </c>
      <c r="AP155" s="374">
        <f t="shared" si="67"/>
        <v>5.6047476456504097E-2</v>
      </c>
      <c r="AQ155" s="374">
        <f t="shared" si="67"/>
        <v>5.671350145234838E-2</v>
      </c>
      <c r="AR155" s="374">
        <f t="shared" si="67"/>
        <v>5.734229477668934E-2</v>
      </c>
      <c r="AS155" s="374">
        <f t="shared" si="67"/>
        <v>5.7981391478755508E-2</v>
      </c>
      <c r="AT155" s="374">
        <f t="shared" si="67"/>
        <v>5.8634417519977639E-2</v>
      </c>
      <c r="AU155" s="374">
        <f t="shared" si="67"/>
        <v>5.9297932668285813E-2</v>
      </c>
      <c r="AV155" s="374">
        <f t="shared" si="67"/>
        <v>5.9972048481170853E-2</v>
      </c>
      <c r="AW155" s="374">
        <f t="shared" si="67"/>
        <v>6.0657572506068819E-2</v>
      </c>
      <c r="AX155" s="374">
        <f t="shared" si="67"/>
        <v>6.1303113852937886E-2</v>
      </c>
      <c r="AY155" s="374">
        <f t="shared" si="67"/>
        <v>6.1960046966176296E-2</v>
      </c>
      <c r="AZ155" s="374">
        <f t="shared" si="67"/>
        <v>6.2629033728166389E-2</v>
      </c>
      <c r="BA155" s="374">
        <f t="shared" si="67"/>
        <v>6.3314951953362342E-2</v>
      </c>
      <c r="BB155" s="374">
        <f t="shared" si="67"/>
        <v>6.4065274592644689E-2</v>
      </c>
      <c r="BC155" s="374">
        <f t="shared" si="67"/>
        <v>6.4831052047167895E-2</v>
      </c>
      <c r="BD155" s="374">
        <f t="shared" si="67"/>
        <v>6.5613351364731884E-2</v>
      </c>
      <c r="BE155" s="374">
        <f t="shared" si="67"/>
        <v>6.6412464729276005E-2</v>
      </c>
      <c r="BF155" s="374">
        <f t="shared" si="67"/>
        <v>6.728234362296763E-2</v>
      </c>
      <c r="BG155" s="374">
        <f t="shared" si="67"/>
        <v>6.8175975992737253E-2</v>
      </c>
      <c r="BH155" s="374">
        <f t="shared" si="67"/>
        <v>6.9089498430067786E-2</v>
      </c>
      <c r="BI155" s="374">
        <f t="shared" si="67"/>
        <v>7.0075007290692715E-2</v>
      </c>
    </row>
    <row r="156" spans="1:61">
      <c r="A156" s="388" t="s">
        <v>226</v>
      </c>
      <c r="B156" s="388"/>
      <c r="C156" s="388"/>
      <c r="D156" s="388"/>
      <c r="E156" s="388"/>
      <c r="F156" s="388"/>
      <c r="G156" s="388"/>
      <c r="H156" s="388"/>
      <c r="I156" s="388"/>
      <c r="J156" s="388"/>
      <c r="K156" s="388"/>
      <c r="L156" s="388"/>
      <c r="M156" s="388"/>
      <c r="N156" s="388"/>
      <c r="O156" s="388"/>
      <c r="P156" s="399"/>
      <c r="Q156" s="399"/>
      <c r="R156" s="399"/>
      <c r="S156" s="399"/>
      <c r="T156" s="399"/>
      <c r="U156" s="399"/>
      <c r="V156" s="399"/>
      <c r="W156" s="399"/>
      <c r="X156" s="399"/>
      <c r="Y156" s="399"/>
      <c r="Z156" s="399"/>
      <c r="AA156" s="399"/>
      <c r="AB156" s="399"/>
      <c r="AC156" s="399"/>
      <c r="AD156" s="399"/>
      <c r="AE156" s="399"/>
      <c r="AF156" s="399"/>
      <c r="AG156" s="399"/>
      <c r="AH156" s="399"/>
      <c r="AI156" s="399"/>
      <c r="AJ156" s="399"/>
      <c r="AK156" s="399"/>
      <c r="AL156" s="399"/>
      <c r="AM156" s="399"/>
      <c r="AN156" s="399"/>
      <c r="AO156" s="399"/>
      <c r="AP156" s="399"/>
      <c r="AQ156" s="399"/>
      <c r="AR156" s="399"/>
      <c r="AS156" s="399"/>
      <c r="AT156" s="399"/>
      <c r="AU156" s="399"/>
      <c r="AV156" s="399"/>
      <c r="AW156" s="399"/>
      <c r="AX156" s="399"/>
      <c r="AY156" s="399"/>
      <c r="AZ156" s="399"/>
      <c r="BA156" s="399"/>
      <c r="BB156" s="399"/>
      <c r="BC156" s="399"/>
      <c r="BD156" s="399"/>
      <c r="BE156" s="399"/>
      <c r="BF156" s="399"/>
      <c r="BG156" s="399"/>
      <c r="BH156" s="399"/>
      <c r="BI156" s="399"/>
    </row>
    <row r="157" spans="1:61">
      <c r="A157" s="854" t="s">
        <v>211</v>
      </c>
      <c r="B157" s="403" t="s">
        <v>208</v>
      </c>
      <c r="C157" s="409"/>
      <c r="D157" s="409"/>
      <c r="E157" s="409"/>
      <c r="F157" s="409"/>
      <c r="G157" s="409"/>
      <c r="H157" s="409"/>
      <c r="I157" s="409"/>
      <c r="J157" s="409"/>
      <c r="K157" s="409"/>
      <c r="L157" s="409"/>
      <c r="M157" s="409"/>
      <c r="N157" s="409"/>
      <c r="O157" s="409"/>
      <c r="P157" s="410"/>
      <c r="Q157" s="417">
        <f>AVERAGE(V49:V50)*$B$98*$Q$101*$Q$105/100</f>
        <v>0.42056556024736685</v>
      </c>
      <c r="R157" s="414">
        <f>Q157*Indeksacja!R$61</f>
        <v>0.44647885457389253</v>
      </c>
      <c r="S157" s="407">
        <f>R157*Indeksacja!S$61</f>
        <v>0.47504604088626667</v>
      </c>
      <c r="T157" s="407">
        <f>S157*Indeksacja!T$61</f>
        <v>0.50348008587375159</v>
      </c>
      <c r="U157" s="407">
        <f>T157*Indeksacja!U$61</f>
        <v>0.51220453955789547</v>
      </c>
      <c r="V157" s="407">
        <f>U157*Indeksacja!V$61</f>
        <v>0.56818442644751865</v>
      </c>
      <c r="W157" s="407">
        <f>V157*Indeksacja!W$61</f>
        <v>0.67923214560540535</v>
      </c>
      <c r="X157" s="407">
        <f>W157*Indeksacja!X$61</f>
        <v>0.75787944889211534</v>
      </c>
      <c r="Y157" s="407">
        <f>X157*Indeksacja!Y$61</f>
        <v>0.7786522995032289</v>
      </c>
      <c r="Z157" s="407">
        <f>Y157*Indeksacja!Z$61</f>
        <v>0.80376985953450619</v>
      </c>
      <c r="AA157" s="407">
        <f>Z157*Indeksacja!AA$61</f>
        <v>0.82783259620180938</v>
      </c>
      <c r="AB157" s="407">
        <f>AA157*Indeksacja!AB$61</f>
        <v>0.8483235389121152</v>
      </c>
      <c r="AC157" s="407">
        <f>AB157*Indeksacja!AC$61</f>
        <v>0.86939535762393105</v>
      </c>
      <c r="AD157" s="407">
        <f>AC157*Indeksacja!AD$61</f>
        <v>0.8904232335065001</v>
      </c>
      <c r="AE157" s="407">
        <f>AD157*Indeksacja!AE$61</f>
        <v>0.91136408849288342</v>
      </c>
      <c r="AF157" s="407">
        <f>AE157*Indeksacja!AF$61</f>
        <v>0.93101599503941967</v>
      </c>
      <c r="AG157" s="407">
        <f>AF157*Indeksacja!AG$61</f>
        <v>0.94990282154814509</v>
      </c>
      <c r="AH157" s="407">
        <f>AG157*Indeksacja!AH$61</f>
        <v>0.96944210492248706</v>
      </c>
      <c r="AI157" s="407">
        <f>AH157*Indeksacja!AI$61</f>
        <v>0.98954551931890145</v>
      </c>
      <c r="AJ157" s="407">
        <f>AI157*Indeksacja!AJ$61</f>
        <v>1.0086349030656785</v>
      </c>
      <c r="AK157" s="407">
        <f>AJ157*Indeksacja!AK$61</f>
        <v>1.0274237719538299</v>
      </c>
      <c r="AL157" s="407">
        <f>AK157*Indeksacja!AL$61</f>
        <v>1.0458132988574664</v>
      </c>
      <c r="AM157" s="407">
        <f>AL157*Indeksacja!AM$61</f>
        <v>1.0638105099228983</v>
      </c>
      <c r="AN157" s="407">
        <f>AM157*Indeksacja!AN$61</f>
        <v>1.0805064623430338</v>
      </c>
      <c r="AO157" s="407">
        <f>AN157*Indeksacja!AO$61</f>
        <v>1.0958101701472376</v>
      </c>
      <c r="AP157" s="407">
        <f>AO157*Indeksacja!AP$61</f>
        <v>1.1105264544075815</v>
      </c>
      <c r="AQ157" s="407">
        <f>AP157*Indeksacja!AQ$61</f>
        <v>1.1237230945409828</v>
      </c>
      <c r="AR157" s="407">
        <f>AQ157*Indeksacja!AR$61</f>
        <v>1.1361820251687951</v>
      </c>
      <c r="AS157" s="407">
        <f>AR157*Indeksacja!AS$61</f>
        <v>1.1488451072456467</v>
      </c>
      <c r="AT157" s="407">
        <f>AS157*Indeksacja!AT$61</f>
        <v>1.1617841856849236</v>
      </c>
      <c r="AU157" s="407">
        <f>AT157*Indeksacja!AU$61</f>
        <v>1.1749310956206143</v>
      </c>
      <c r="AV157" s="407">
        <f>AU157*Indeksacja!AV$61</f>
        <v>1.1882880474563364</v>
      </c>
      <c r="AW157" s="407">
        <f>AV157*Indeksacja!AW$61</f>
        <v>1.2018710419622882</v>
      </c>
      <c r="AX157" s="407">
        <f>AW157*Indeksacja!AX$61</f>
        <v>1.2146618184331672</v>
      </c>
      <c r="AY157" s="407">
        <f>AX157*Indeksacja!AY$61</f>
        <v>1.2276783117197785</v>
      </c>
      <c r="AZ157" s="407">
        <f>AY157*Indeksacja!AZ$61</f>
        <v>1.2409336363803816</v>
      </c>
      <c r="BA157" s="407">
        <f>AZ157*Indeksacja!BA$61</f>
        <v>1.2545244415833876</v>
      </c>
      <c r="BB157" s="407">
        <f>BA157*Indeksacja!BB$61</f>
        <v>1.2693913578648119</v>
      </c>
      <c r="BC157" s="407">
        <f>BB157*Indeksacja!BC$61</f>
        <v>1.2845644963395992</v>
      </c>
      <c r="BD157" s="407">
        <f>BC157*Indeksacja!BD$61</f>
        <v>1.3000649995262863</v>
      </c>
      <c r="BE157" s="407">
        <f>BD157*Indeksacja!BE$61</f>
        <v>1.3158986567666011</v>
      </c>
      <c r="BF157" s="407">
        <f>BE157*Indeksacja!BF$61</f>
        <v>1.3331344644184413</v>
      </c>
      <c r="BG157" s="407">
        <f>BF157*Indeksacja!BG$61</f>
        <v>1.3508409241894583</v>
      </c>
      <c r="BH157" s="407">
        <f>BG157*Indeksacja!BH$61</f>
        <v>1.3689414863822582</v>
      </c>
      <c r="BI157" s="407">
        <f>BH157*Indeksacja!BI$61</f>
        <v>1.3884683898214594</v>
      </c>
    </row>
    <row r="158" spans="1:61">
      <c r="A158" s="854"/>
      <c r="B158" s="404" t="s">
        <v>209</v>
      </c>
      <c r="C158" s="411"/>
      <c r="D158" s="411"/>
      <c r="E158" s="411"/>
      <c r="F158" s="411"/>
      <c r="G158" s="411"/>
      <c r="H158" s="411"/>
      <c r="I158" s="411"/>
      <c r="J158" s="411"/>
      <c r="K158" s="411"/>
      <c r="L158" s="411"/>
      <c r="M158" s="411"/>
      <c r="N158" s="411"/>
      <c r="O158" s="411"/>
      <c r="P158" s="412"/>
      <c r="Q158" s="418">
        <f>AVERAGE(V51:V52)*$B$98*$Q$101</f>
        <v>1.1229430001630269</v>
      </c>
      <c r="R158" s="415">
        <f>Q158*Indeksacja!R$61</f>
        <v>1.1921335265057471</v>
      </c>
      <c r="S158" s="408">
        <f>R158*Indeksacja!S$61</f>
        <v>1.2684101524019933</v>
      </c>
      <c r="T158" s="408">
        <f>S158*Indeksacja!T$61</f>
        <v>1.3443312805282157</v>
      </c>
      <c r="U158" s="408">
        <f>T158*Indeksacja!U$61</f>
        <v>1.3676262554878711</v>
      </c>
      <c r="V158" s="408">
        <f>U158*Indeksacja!V$61</f>
        <v>1.5170969399054117</v>
      </c>
      <c r="W158" s="408">
        <f>V158*Indeksacja!W$61</f>
        <v>1.813603051435497</v>
      </c>
      <c r="X158" s="408">
        <f>W158*Indeksacja!X$61</f>
        <v>2.0235975137865365</v>
      </c>
      <c r="Y158" s="408">
        <f>X158*Indeksacja!Y$61</f>
        <v>2.0790626526187843</v>
      </c>
      <c r="Z158" s="408">
        <f>Y158*Indeksacja!Z$61</f>
        <v>2.1461285060417503</v>
      </c>
      <c r="AA158" s="408">
        <f>Z158*Indeksacja!AA$61</f>
        <v>2.2103778984299933</v>
      </c>
      <c r="AB158" s="408">
        <f>AA158*Indeksacja!AB$61</f>
        <v>2.2650903210775954</v>
      </c>
      <c r="AC158" s="408">
        <f>AB158*Indeksacja!AC$61</f>
        <v>2.3213537281649952</v>
      </c>
      <c r="AD158" s="408">
        <f>AC158*Indeksacja!AD$61</f>
        <v>2.3774998044550726</v>
      </c>
      <c r="AE158" s="408">
        <f>AD158*Indeksacja!AE$61</f>
        <v>2.4334135281336278</v>
      </c>
      <c r="AF158" s="408">
        <f>AE158*Indeksacja!AF$61</f>
        <v>2.485885658479515</v>
      </c>
      <c r="AG158" s="408">
        <f>AF158*Indeksacja!AG$61</f>
        <v>2.5363149651749852</v>
      </c>
      <c r="AH158" s="408">
        <f>AG158*Indeksacja!AH$61</f>
        <v>2.5884863828262872</v>
      </c>
      <c r="AI158" s="408">
        <f>AH158*Indeksacja!AI$61</f>
        <v>2.6421640745102</v>
      </c>
      <c r="AJ158" s="408">
        <f>AI158*Indeksacja!AJ$61</f>
        <v>2.6931342249030683</v>
      </c>
      <c r="AK158" s="408">
        <f>AJ158*Indeksacja!AK$61</f>
        <v>2.7433019770759297</v>
      </c>
      <c r="AL158" s="408">
        <f>AK158*Indeksacja!AL$61</f>
        <v>2.7924034548588517</v>
      </c>
      <c r="AM158" s="408">
        <f>AL158*Indeksacja!AM$61</f>
        <v>2.8404574186130311</v>
      </c>
      <c r="AN158" s="408">
        <f>AM158*Indeksacja!AN$61</f>
        <v>2.8850369198214008</v>
      </c>
      <c r="AO158" s="408">
        <f>AN158*Indeksacja!AO$61</f>
        <v>2.9258990188129657</v>
      </c>
      <c r="AP158" s="408">
        <f>AO158*Indeksacja!AP$61</f>
        <v>2.9651926509136124</v>
      </c>
      <c r="AQ158" s="408">
        <f>AP158*Indeksacja!AQ$61</f>
        <v>3.0004287141203982</v>
      </c>
      <c r="AR158" s="408">
        <f>AQ158*Indeksacja!AR$61</f>
        <v>3.033695035142475</v>
      </c>
      <c r="AS158" s="408">
        <f>AR158*Indeksacja!AS$61</f>
        <v>3.0675064565302046</v>
      </c>
      <c r="AT158" s="408">
        <f>AS158*Indeksacja!AT$61</f>
        <v>3.1020548098318876</v>
      </c>
      <c r="AU158" s="408">
        <f>AT158*Indeksacja!AU$61</f>
        <v>3.1371580895140712</v>
      </c>
      <c r="AV158" s="408">
        <f>AU158*Indeksacja!AV$61</f>
        <v>3.1728221975276156</v>
      </c>
      <c r="AW158" s="408">
        <f>AV158*Indeksacja!AW$61</f>
        <v>3.209089857182724</v>
      </c>
      <c r="AX158" s="408">
        <f>AW158*Indeksacja!AX$61</f>
        <v>3.2432422326082708</v>
      </c>
      <c r="AY158" s="408">
        <f>AX158*Indeksacja!AY$61</f>
        <v>3.2779972896183405</v>
      </c>
      <c r="AZ158" s="408">
        <f>AY158*Indeksacja!AZ$61</f>
        <v>3.3133900451111047</v>
      </c>
      <c r="BA158" s="408">
        <f>AZ158*Indeksacja!BA$61</f>
        <v>3.3496785599393717</v>
      </c>
      <c r="BB158" s="408">
        <f>BA158*Indeksacja!BB$61</f>
        <v>3.3893743913393934</v>
      </c>
      <c r="BC158" s="408">
        <f>BB158*Indeksacja!BC$61</f>
        <v>3.429887859990381</v>
      </c>
      <c r="BD158" s="408">
        <f>BC158*Indeksacja!BD$61</f>
        <v>3.4712754180734939</v>
      </c>
      <c r="BE158" s="408">
        <f>BD158*Indeksacja!BE$61</f>
        <v>3.5135525235847829</v>
      </c>
      <c r="BF158" s="408">
        <f>BE158*Indeksacja!BF$61</f>
        <v>3.5595734805633006</v>
      </c>
      <c r="BG158" s="408">
        <f>BF158*Indeksacja!BG$61</f>
        <v>3.6068511155789609</v>
      </c>
      <c r="BH158" s="408">
        <f>BG158*Indeksacja!BH$61</f>
        <v>3.655181034941509</v>
      </c>
      <c r="BI158" s="408">
        <f>BH158*Indeksacja!BI$61</f>
        <v>3.7073193971959291</v>
      </c>
    </row>
    <row r="159" spans="1:61">
      <c r="A159" s="854"/>
      <c r="B159" s="402" t="s">
        <v>227</v>
      </c>
      <c r="C159" s="377"/>
      <c r="D159" s="377"/>
      <c r="E159" s="377"/>
      <c r="F159" s="377"/>
      <c r="G159" s="377"/>
      <c r="H159" s="377"/>
      <c r="I159" s="377"/>
      <c r="J159" s="377"/>
      <c r="K159" s="377"/>
      <c r="L159" s="377"/>
      <c r="M159" s="377"/>
      <c r="N159" s="377"/>
      <c r="O159" s="377"/>
      <c r="P159" s="413"/>
      <c r="Q159" s="374">
        <f>Q157*$B$90+Q158*$B$91</f>
        <v>0.52592217623471593</v>
      </c>
      <c r="R159" s="374">
        <f>R157*$B$90+R158*$B$91</f>
        <v>0.55832705536367078</v>
      </c>
      <c r="S159" s="374">
        <f t="shared" ref="S159:BI159" si="68">S157*$B$90+S158*$B$91</f>
        <v>0.59405065761362574</v>
      </c>
      <c r="T159" s="374">
        <f t="shared" si="68"/>
        <v>0.62960776507192118</v>
      </c>
      <c r="U159" s="374">
        <f t="shared" si="68"/>
        <v>0.64051779694739186</v>
      </c>
      <c r="V159" s="374">
        <f t="shared" si="68"/>
        <v>0.71052130346620257</v>
      </c>
      <c r="W159" s="374">
        <f t="shared" si="68"/>
        <v>0.84938778147991911</v>
      </c>
      <c r="X159" s="374">
        <f t="shared" si="68"/>
        <v>0.94773715862627861</v>
      </c>
      <c r="Y159" s="374">
        <f t="shared" si="68"/>
        <v>0.97371385247056219</v>
      </c>
      <c r="Z159" s="374">
        <f t="shared" si="68"/>
        <v>1.0051236565105928</v>
      </c>
      <c r="AA159" s="374">
        <f t="shared" si="68"/>
        <v>1.035214391536037</v>
      </c>
      <c r="AB159" s="374">
        <f t="shared" si="68"/>
        <v>1.0608385562369373</v>
      </c>
      <c r="AC159" s="374">
        <f t="shared" si="68"/>
        <v>1.0871891132050906</v>
      </c>
      <c r="AD159" s="374">
        <f t="shared" si="68"/>
        <v>1.113484719148786</v>
      </c>
      <c r="AE159" s="374">
        <f t="shared" si="68"/>
        <v>1.1396715044389951</v>
      </c>
      <c r="AF159" s="374">
        <f t="shared" si="68"/>
        <v>1.1642464445554339</v>
      </c>
      <c r="AG159" s="374">
        <f t="shared" si="68"/>
        <v>1.1878646430921711</v>
      </c>
      <c r="AH159" s="374">
        <f t="shared" si="68"/>
        <v>1.212298746608057</v>
      </c>
      <c r="AI159" s="374">
        <f t="shared" si="68"/>
        <v>1.2374383025975964</v>
      </c>
      <c r="AJ159" s="374">
        <f t="shared" si="68"/>
        <v>1.2613098013412869</v>
      </c>
      <c r="AK159" s="374">
        <f t="shared" si="68"/>
        <v>1.2848055027221448</v>
      </c>
      <c r="AL159" s="374">
        <f t="shared" si="68"/>
        <v>1.3078018222576742</v>
      </c>
      <c r="AM159" s="374">
        <f t="shared" si="68"/>
        <v>1.3303075462264182</v>
      </c>
      <c r="AN159" s="374">
        <f t="shared" si="68"/>
        <v>1.351186030964789</v>
      </c>
      <c r="AO159" s="374">
        <f t="shared" si="68"/>
        <v>1.3703234974470968</v>
      </c>
      <c r="AP159" s="374">
        <f t="shared" si="68"/>
        <v>1.388726383883486</v>
      </c>
      <c r="AQ159" s="374">
        <f t="shared" si="68"/>
        <v>1.405228937477895</v>
      </c>
      <c r="AR159" s="374">
        <f t="shared" si="68"/>
        <v>1.4208089766648471</v>
      </c>
      <c r="AS159" s="374">
        <f t="shared" si="68"/>
        <v>1.4366443096383303</v>
      </c>
      <c r="AT159" s="374">
        <f t="shared" si="68"/>
        <v>1.4528247793069684</v>
      </c>
      <c r="AU159" s="374">
        <f t="shared" si="68"/>
        <v>1.4692651447046328</v>
      </c>
      <c r="AV159" s="374">
        <f t="shared" si="68"/>
        <v>1.4859681699670282</v>
      </c>
      <c r="AW159" s="374">
        <f t="shared" si="68"/>
        <v>1.5029538642453537</v>
      </c>
      <c r="AX159" s="374">
        <f t="shared" si="68"/>
        <v>1.5189488805594329</v>
      </c>
      <c r="AY159" s="374">
        <f t="shared" si="68"/>
        <v>1.535226158404563</v>
      </c>
      <c r="AZ159" s="374">
        <f t="shared" si="68"/>
        <v>1.5518020976899902</v>
      </c>
      <c r="BA159" s="374">
        <f t="shared" si="68"/>
        <v>1.5687975593367853</v>
      </c>
      <c r="BB159" s="374">
        <f t="shared" si="68"/>
        <v>1.5873888128859992</v>
      </c>
      <c r="BC159" s="374">
        <f t="shared" si="68"/>
        <v>1.6063630008872165</v>
      </c>
      <c r="BD159" s="374">
        <f t="shared" si="68"/>
        <v>1.6257465623083676</v>
      </c>
      <c r="BE159" s="374">
        <f t="shared" si="68"/>
        <v>1.6455467367893286</v>
      </c>
      <c r="BF159" s="374">
        <f t="shared" si="68"/>
        <v>1.6671003168401701</v>
      </c>
      <c r="BG159" s="374">
        <f t="shared" si="68"/>
        <v>1.6892424528978838</v>
      </c>
      <c r="BH159" s="374">
        <f t="shared" si="68"/>
        <v>1.7118774186661458</v>
      </c>
      <c r="BI159" s="374">
        <f t="shared" si="68"/>
        <v>1.7362960409276298</v>
      </c>
    </row>
    <row r="160" spans="1:61">
      <c r="A160" s="854" t="s">
        <v>212</v>
      </c>
      <c r="B160" s="403" t="s">
        <v>208</v>
      </c>
      <c r="C160" s="409"/>
      <c r="D160" s="409"/>
      <c r="E160" s="409"/>
      <c r="F160" s="409"/>
      <c r="G160" s="409"/>
      <c r="H160" s="409"/>
      <c r="I160" s="409"/>
      <c r="J160" s="409"/>
      <c r="K160" s="409"/>
      <c r="L160" s="409"/>
      <c r="M160" s="409"/>
      <c r="N160" s="409"/>
      <c r="O160" s="409"/>
      <c r="P160" s="410"/>
      <c r="Q160" s="417">
        <f>AVERAGE(V53:V54)*$B$98*$Q$101*$Q$105/100</f>
        <v>0.60753546212785114</v>
      </c>
      <c r="R160" s="414">
        <f>Q160*Indeksacja!R$61</f>
        <v>0.64496897245775309</v>
      </c>
      <c r="S160" s="407">
        <f>R160*Indeksacja!S$61</f>
        <v>0.68623620966988363</v>
      </c>
      <c r="T160" s="407">
        <f>S160*Indeksacja!T$61</f>
        <v>0.72731111521249447</v>
      </c>
      <c r="U160" s="407">
        <f>T160*Indeksacja!U$61</f>
        <v>0.73991417999433673</v>
      </c>
      <c r="V160" s="407">
        <f>U160*Indeksacja!V$61</f>
        <v>0.82078092151104176</v>
      </c>
      <c r="W160" s="407">
        <f>V160*Indeksacja!W$61</f>
        <v>0.98119687981525705</v>
      </c>
      <c r="X160" s="407">
        <f>W160*Indeksacja!X$61</f>
        <v>1.0948082409530946</v>
      </c>
      <c r="Y160" s="407">
        <f>X160*Indeksacja!Y$61</f>
        <v>1.1248160318628229</v>
      </c>
      <c r="Z160" s="407">
        <f>Y160*Indeksacja!Z$61</f>
        <v>1.161100050060011</v>
      </c>
      <c r="AA160" s="407">
        <f>Z160*Indeksacja!AA$61</f>
        <v>1.195860304400933</v>
      </c>
      <c r="AB160" s="407">
        <f>AA160*Indeksacja!AB$61</f>
        <v>1.2254608602372663</v>
      </c>
      <c r="AC160" s="407">
        <f>AB160*Indeksacja!AC$61</f>
        <v>1.2559005308356566</v>
      </c>
      <c r="AD160" s="407">
        <f>AC160*Indeksacja!AD$61</f>
        <v>1.2862767230382934</v>
      </c>
      <c r="AE160" s="407">
        <f>AD160*Indeksacja!AE$61</f>
        <v>1.3165272076571997</v>
      </c>
      <c r="AF160" s="407">
        <f>AE160*Indeksacja!AF$61</f>
        <v>1.344915718876285</v>
      </c>
      <c r="AG160" s="407">
        <f>AF160*Indeksacja!AG$61</f>
        <v>1.3721990201155925</v>
      </c>
      <c r="AH160" s="407">
        <f>AG160*Indeksacja!AH$61</f>
        <v>1.4004248395276617</v>
      </c>
      <c r="AI160" s="407">
        <f>AH160*Indeksacja!AI$61</f>
        <v>1.4294655844438398</v>
      </c>
      <c r="AJ160" s="407">
        <f>AI160*Indeksacja!AJ$61</f>
        <v>1.4570414933449698</v>
      </c>
      <c r="AK160" s="407">
        <f>AJ160*Indeksacja!AK$61</f>
        <v>1.4841832881607617</v>
      </c>
      <c r="AL160" s="407">
        <f>AK160*Indeksacja!AL$61</f>
        <v>1.5107482064083282</v>
      </c>
      <c r="AM160" s="407">
        <f>AL160*Indeksacja!AM$61</f>
        <v>1.5367463978323204</v>
      </c>
      <c r="AN160" s="407">
        <f>AM160*Indeksacja!AN$61</f>
        <v>1.5608648329302051</v>
      </c>
      <c r="AO160" s="407">
        <f>AN160*Indeksacja!AO$61</f>
        <v>1.5829720762994146</v>
      </c>
      <c r="AP160" s="407">
        <f>AO160*Indeksacja!AP$61</f>
        <v>1.6042307465377814</v>
      </c>
      <c r="AQ160" s="407">
        <f>AP160*Indeksacja!AQ$61</f>
        <v>1.6232941878173415</v>
      </c>
      <c r="AR160" s="407">
        <f>AQ160*Indeksacja!AR$61</f>
        <v>1.6412919577063803</v>
      </c>
      <c r="AS160" s="407">
        <f>AR160*Indeksacja!AS$61</f>
        <v>1.6595846382030854</v>
      </c>
      <c r="AT160" s="407">
        <f>AS160*Indeksacja!AT$61</f>
        <v>1.678276014155246</v>
      </c>
      <c r="AU160" s="407">
        <f>AT160*Indeksacja!AU$61</f>
        <v>1.6972676167929779</v>
      </c>
      <c r="AV160" s="407">
        <f>AU160*Indeksacja!AV$61</f>
        <v>1.7165626391941513</v>
      </c>
      <c r="AW160" s="407">
        <f>AV160*Indeksacja!AW$61</f>
        <v>1.7361841955560173</v>
      </c>
      <c r="AX160" s="407">
        <f>AW160*Indeksacja!AX$61</f>
        <v>1.7546613392613621</v>
      </c>
      <c r="AY160" s="407">
        <f>AX160*Indeksacja!AY$61</f>
        <v>1.7734645462084886</v>
      </c>
      <c r="AZ160" s="407">
        <f>AY160*Indeksacja!AZ$61</f>
        <v>1.7926127612658449</v>
      </c>
      <c r="BA160" s="407">
        <f>AZ160*Indeksacja!BA$61</f>
        <v>1.812245600709097</v>
      </c>
      <c r="BB160" s="407">
        <f>BA160*Indeksacja!BB$61</f>
        <v>1.8337218691133352</v>
      </c>
      <c r="BC160" s="407">
        <f>BB160*Indeksacja!BC$61</f>
        <v>1.8556404962348425</v>
      </c>
      <c r="BD160" s="407">
        <f>BC160*Indeksacja!BD$61</f>
        <v>1.8780320238749069</v>
      </c>
      <c r="BE160" s="407">
        <f>BD160*Indeksacja!BE$61</f>
        <v>1.9009048151301173</v>
      </c>
      <c r="BF160" s="407">
        <f>BE160*Indeksacja!BF$61</f>
        <v>1.9258031077072568</v>
      </c>
      <c r="BG160" s="407">
        <f>BF160*Indeksacja!BG$61</f>
        <v>1.9513812891762905</v>
      </c>
      <c r="BH160" s="407">
        <f>BG160*Indeksacja!BH$61</f>
        <v>1.9775287783099906</v>
      </c>
      <c r="BI160" s="407">
        <f>BH160*Indeksacja!BI$61</f>
        <v>2.005736714066507</v>
      </c>
    </row>
    <row r="161" spans="1:61">
      <c r="A161" s="854"/>
      <c r="B161" s="404" t="s">
        <v>209</v>
      </c>
      <c r="C161" s="411"/>
      <c r="D161" s="411"/>
      <c r="E161" s="411"/>
      <c r="F161" s="411"/>
      <c r="G161" s="411"/>
      <c r="H161" s="411"/>
      <c r="I161" s="411"/>
      <c r="J161" s="411"/>
      <c r="K161" s="411"/>
      <c r="L161" s="411"/>
      <c r="M161" s="411"/>
      <c r="N161" s="411"/>
      <c r="O161" s="411"/>
      <c r="P161" s="412"/>
      <c r="Q161" s="418">
        <f>AVERAGE(V55:V56)*$B$98*$Q$101*$Q$105/100</f>
        <v>1.1062478462233114</v>
      </c>
      <c r="R161" s="415">
        <f>Q161*Indeksacja!R$61</f>
        <v>1.1744096948074152</v>
      </c>
      <c r="S161" s="408">
        <f>R161*Indeksacja!S$61</f>
        <v>1.2495522916290289</v>
      </c>
      <c r="T161" s="408">
        <f>S161*Indeksacja!T$61</f>
        <v>1.3243446759800461</v>
      </c>
      <c r="U161" s="408">
        <f>T161*Indeksacja!U$61</f>
        <v>1.3472933170715382</v>
      </c>
      <c r="V161" s="408">
        <f>U161*Indeksacja!V$61</f>
        <v>1.4945417728581838</v>
      </c>
      <c r="W161" s="408">
        <f>V161*Indeksacja!W$61</f>
        <v>1.7866396328783147</v>
      </c>
      <c r="X161" s="408">
        <f>W161*Indeksacja!X$61</f>
        <v>1.9935120401696322</v>
      </c>
      <c r="Y161" s="408">
        <f>X161*Indeksacja!Y$61</f>
        <v>2.048152560983906</v>
      </c>
      <c r="Z161" s="408">
        <f>Y161*Indeksacja!Z$61</f>
        <v>2.1142213248423687</v>
      </c>
      <c r="AA161" s="408">
        <f>Z161*Indeksacja!AA$61</f>
        <v>2.1775155008961233</v>
      </c>
      <c r="AB161" s="408">
        <f>AA161*Indeksacja!AB$61</f>
        <v>2.2314144963988181</v>
      </c>
      <c r="AC161" s="408">
        <f>AB161*Indeksacja!AC$61</f>
        <v>2.2868414173579272</v>
      </c>
      <c r="AD161" s="408">
        <f>AC161*Indeksacja!AD$61</f>
        <v>2.3421527519143304</v>
      </c>
      <c r="AE161" s="408">
        <f>AD161*Indeksacja!AE$61</f>
        <v>2.3972351883200496</v>
      </c>
      <c r="AF161" s="408">
        <f>AE161*Indeksacja!AF$61</f>
        <v>2.4489271986655963</v>
      </c>
      <c r="AG161" s="408">
        <f>AF161*Indeksacja!AG$61</f>
        <v>2.4986067566754859</v>
      </c>
      <c r="AH161" s="408">
        <f>AG161*Indeksacja!AH$61</f>
        <v>2.5500025251185776</v>
      </c>
      <c r="AI161" s="408">
        <f>AH161*Indeksacja!AI$61</f>
        <v>2.6028821733348688</v>
      </c>
      <c r="AJ161" s="408">
        <f>AI161*Indeksacja!AJ$61</f>
        <v>2.6530945341453487</v>
      </c>
      <c r="AK161" s="408">
        <f>AJ161*Indeksacja!AK$61</f>
        <v>2.7025164262476506</v>
      </c>
      <c r="AL161" s="408">
        <f>AK161*Indeksacja!AL$61</f>
        <v>2.7508878966035399</v>
      </c>
      <c r="AM161" s="408">
        <f>AL161*Indeksacja!AM$61</f>
        <v>2.798227426657903</v>
      </c>
      <c r="AN161" s="408">
        <f>AM161*Indeksacja!AN$61</f>
        <v>2.8421441501160918</v>
      </c>
      <c r="AO161" s="408">
        <f>AN161*Indeksacja!AO$61</f>
        <v>2.8823987391691603</v>
      </c>
      <c r="AP161" s="408">
        <f>AO161*Indeksacja!AP$61</f>
        <v>2.9211081802319043</v>
      </c>
      <c r="AQ161" s="408">
        <f>AP161*Indeksacja!AQ$61</f>
        <v>2.9558203775796206</v>
      </c>
      <c r="AR161" s="408">
        <f>AQ161*Indeksacja!AR$61</f>
        <v>2.9885921175317849</v>
      </c>
      <c r="AS161" s="408">
        <f>AR161*Indeksacja!AS$61</f>
        <v>3.0219008536675411</v>
      </c>
      <c r="AT161" s="408">
        <f>AS161*Indeksacja!AT$61</f>
        <v>3.0559355655140021</v>
      </c>
      <c r="AU161" s="408">
        <f>AT161*Indeksacja!AU$61</f>
        <v>3.0905169534723869</v>
      </c>
      <c r="AV161" s="408">
        <f>AU161*Indeksacja!AV$61</f>
        <v>3.1256508317473584</v>
      </c>
      <c r="AW161" s="408">
        <f>AV161*Indeksacja!AW$61</f>
        <v>3.1613792884679568</v>
      </c>
      <c r="AX161" s="408">
        <f>AW161*Indeksacja!AX$61</f>
        <v>3.1950239095684365</v>
      </c>
      <c r="AY161" s="408">
        <f>AX161*Indeksacja!AY$61</f>
        <v>3.2292622519929193</v>
      </c>
      <c r="AZ161" s="408">
        <f>AY161*Indeksacja!AZ$61</f>
        <v>3.2641288120321148</v>
      </c>
      <c r="BA161" s="408">
        <f>AZ161*Indeksacja!BA$61</f>
        <v>3.29987781386532</v>
      </c>
      <c r="BB161" s="408">
        <f>BA161*Indeksacja!BB$61</f>
        <v>3.3389834746013882</v>
      </c>
      <c r="BC161" s="408">
        <f>BB161*Indeksacja!BC$61</f>
        <v>3.3788946165130294</v>
      </c>
      <c r="BD161" s="408">
        <f>BC161*Indeksacja!BD$61</f>
        <v>3.4196668524887102</v>
      </c>
      <c r="BE161" s="408">
        <f>BD161*Indeksacja!BE$61</f>
        <v>3.4613154107054931</v>
      </c>
      <c r="BF161" s="408">
        <f>BE161*Indeksacja!BF$61</f>
        <v>3.5066521593483273</v>
      </c>
      <c r="BG161" s="408">
        <f>BF161*Indeksacja!BG$61</f>
        <v>3.5532269025926531</v>
      </c>
      <c r="BH161" s="408">
        <f>BG161*Indeksacja!BH$61</f>
        <v>3.6008382855347998</v>
      </c>
      <c r="BI161" s="408">
        <f>BH161*Indeksacja!BI$61</f>
        <v>3.6522014900262025</v>
      </c>
    </row>
    <row r="162" spans="1:61">
      <c r="A162" s="854"/>
      <c r="B162" s="402" t="s">
        <v>227</v>
      </c>
      <c r="C162" s="377"/>
      <c r="D162" s="377"/>
      <c r="E162" s="377"/>
      <c r="F162" s="377"/>
      <c r="G162" s="377"/>
      <c r="H162" s="377"/>
      <c r="I162" s="377"/>
      <c r="J162" s="377"/>
      <c r="K162" s="377"/>
      <c r="L162" s="377"/>
      <c r="M162" s="377"/>
      <c r="N162" s="377"/>
      <c r="O162" s="377"/>
      <c r="P162" s="413"/>
      <c r="Q162" s="374">
        <f>Q160*$B$90+Q161*$B$91</f>
        <v>0.68234231974217019</v>
      </c>
      <c r="R162" s="374">
        <f>R160*$B$90+R161*$B$91</f>
        <v>0.72438508081020236</v>
      </c>
      <c r="S162" s="374">
        <f t="shared" ref="S162:BI162" si="69">S160*$B$90+S161*$B$91</f>
        <v>0.7707336219637555</v>
      </c>
      <c r="T162" s="374">
        <f t="shared" si="69"/>
        <v>0.81686614932762724</v>
      </c>
      <c r="U162" s="374">
        <f t="shared" si="69"/>
        <v>0.83102105055591702</v>
      </c>
      <c r="V162" s="374">
        <f t="shared" si="69"/>
        <v>0.92184504921311317</v>
      </c>
      <c r="W162" s="374">
        <f t="shared" si="69"/>
        <v>1.1020132927747157</v>
      </c>
      <c r="X162" s="374">
        <f t="shared" si="69"/>
        <v>1.2296138108355752</v>
      </c>
      <c r="Y162" s="374">
        <f t="shared" si="69"/>
        <v>1.2633165112309852</v>
      </c>
      <c r="Z162" s="374">
        <f t="shared" si="69"/>
        <v>1.3040682412773648</v>
      </c>
      <c r="AA162" s="374">
        <f t="shared" si="69"/>
        <v>1.3431085838752115</v>
      </c>
      <c r="AB162" s="374">
        <f t="shared" si="69"/>
        <v>1.3763539056614991</v>
      </c>
      <c r="AC162" s="374">
        <f t="shared" si="69"/>
        <v>1.4105416638139971</v>
      </c>
      <c r="AD162" s="374">
        <f t="shared" si="69"/>
        <v>1.444658127369699</v>
      </c>
      <c r="AE162" s="374">
        <f t="shared" si="69"/>
        <v>1.4786334047566272</v>
      </c>
      <c r="AF162" s="374">
        <f t="shared" si="69"/>
        <v>1.5105174408446818</v>
      </c>
      <c r="AG162" s="374">
        <f t="shared" si="69"/>
        <v>1.5411601805995767</v>
      </c>
      <c r="AH162" s="374">
        <f t="shared" si="69"/>
        <v>1.5728614923662991</v>
      </c>
      <c r="AI162" s="374">
        <f t="shared" si="69"/>
        <v>1.605478072777494</v>
      </c>
      <c r="AJ162" s="374">
        <f t="shared" si="69"/>
        <v>1.6364494494650266</v>
      </c>
      <c r="AK162" s="374">
        <f t="shared" si="69"/>
        <v>1.6669332588737951</v>
      </c>
      <c r="AL162" s="374">
        <f t="shared" si="69"/>
        <v>1.69676915993761</v>
      </c>
      <c r="AM162" s="374">
        <f t="shared" si="69"/>
        <v>1.7259685521561576</v>
      </c>
      <c r="AN162" s="374">
        <f t="shared" si="69"/>
        <v>1.753056730508088</v>
      </c>
      <c r="AO162" s="374">
        <f t="shared" si="69"/>
        <v>1.7778860757298764</v>
      </c>
      <c r="AP162" s="374">
        <f t="shared" si="69"/>
        <v>1.8017623615918998</v>
      </c>
      <c r="AQ162" s="374">
        <f t="shared" si="69"/>
        <v>1.8231731162816833</v>
      </c>
      <c r="AR162" s="374">
        <f t="shared" si="69"/>
        <v>1.8433869816801911</v>
      </c>
      <c r="AS162" s="374">
        <f t="shared" si="69"/>
        <v>1.863932070522754</v>
      </c>
      <c r="AT162" s="374">
        <f t="shared" si="69"/>
        <v>1.8849249468590594</v>
      </c>
      <c r="AU162" s="374">
        <f t="shared" si="69"/>
        <v>1.9062550172948893</v>
      </c>
      <c r="AV162" s="374">
        <f t="shared" si="69"/>
        <v>1.9279258680771325</v>
      </c>
      <c r="AW162" s="374">
        <f t="shared" si="69"/>
        <v>1.9499634594928081</v>
      </c>
      <c r="AX162" s="374">
        <f t="shared" si="69"/>
        <v>1.9707157248074234</v>
      </c>
      <c r="AY162" s="374">
        <f t="shared" si="69"/>
        <v>1.9918342020761532</v>
      </c>
      <c r="AZ162" s="374">
        <f t="shared" si="69"/>
        <v>2.0133401688807857</v>
      </c>
      <c r="BA162" s="374">
        <f t="shared" si="69"/>
        <v>2.0353904326825303</v>
      </c>
      <c r="BB162" s="374">
        <f t="shared" si="69"/>
        <v>2.0595111099365431</v>
      </c>
      <c r="BC162" s="374">
        <f t="shared" si="69"/>
        <v>2.0841286142765707</v>
      </c>
      <c r="BD162" s="374">
        <f t="shared" si="69"/>
        <v>2.1092772481669773</v>
      </c>
      <c r="BE162" s="374">
        <f t="shared" si="69"/>
        <v>2.1349664044664238</v>
      </c>
      <c r="BF162" s="374">
        <f t="shared" si="69"/>
        <v>2.1629304654534174</v>
      </c>
      <c r="BG162" s="374">
        <f t="shared" si="69"/>
        <v>2.1916581311887451</v>
      </c>
      <c r="BH162" s="374">
        <f t="shared" si="69"/>
        <v>2.2210252043937122</v>
      </c>
      <c r="BI162" s="374">
        <f t="shared" si="69"/>
        <v>2.2527064304604614</v>
      </c>
    </row>
    <row r="163" spans="1:61"/>
    <row r="164" spans="1:61">
      <c r="A164" s="416" t="s">
        <v>216</v>
      </c>
      <c r="B164" s="663" t="s">
        <v>309</v>
      </c>
      <c r="C164" s="649"/>
      <c r="D164" s="649"/>
      <c r="E164" s="649"/>
      <c r="F164" s="649"/>
      <c r="G164" s="649"/>
      <c r="H164" s="649"/>
      <c r="I164" s="649"/>
      <c r="J164" s="649"/>
      <c r="K164" s="649"/>
      <c r="L164" s="649"/>
      <c r="M164" s="649"/>
      <c r="N164" s="649"/>
      <c r="O164" s="649"/>
      <c r="P164" s="652"/>
      <c r="Q164" s="6"/>
      <c r="R164" s="6"/>
      <c r="S164" s="6"/>
      <c r="T164" s="6">
        <v>2020</v>
      </c>
      <c r="U164" s="6">
        <f>T164+1</f>
        <v>2021</v>
      </c>
      <c r="V164" s="6">
        <f t="shared" ref="V164:BI164" si="70">U164+1</f>
        <v>2022</v>
      </c>
      <c r="W164" s="6">
        <f t="shared" si="70"/>
        <v>2023</v>
      </c>
      <c r="X164" s="6">
        <f t="shared" si="70"/>
        <v>2024</v>
      </c>
      <c r="Y164" s="6">
        <f t="shared" si="70"/>
        <v>2025</v>
      </c>
      <c r="Z164" s="6">
        <f t="shared" si="70"/>
        <v>2026</v>
      </c>
      <c r="AA164" s="6">
        <f t="shared" si="70"/>
        <v>2027</v>
      </c>
      <c r="AB164" s="6">
        <f t="shared" si="70"/>
        <v>2028</v>
      </c>
      <c r="AC164" s="6">
        <f t="shared" si="70"/>
        <v>2029</v>
      </c>
      <c r="AD164" s="6">
        <f t="shared" si="70"/>
        <v>2030</v>
      </c>
      <c r="AE164" s="6">
        <f t="shared" si="70"/>
        <v>2031</v>
      </c>
      <c r="AF164" s="6">
        <f t="shared" si="70"/>
        <v>2032</v>
      </c>
      <c r="AG164" s="6">
        <f t="shared" si="70"/>
        <v>2033</v>
      </c>
      <c r="AH164" s="6">
        <f t="shared" si="70"/>
        <v>2034</v>
      </c>
      <c r="AI164" s="6">
        <f t="shared" si="70"/>
        <v>2035</v>
      </c>
      <c r="AJ164" s="6">
        <f t="shared" si="70"/>
        <v>2036</v>
      </c>
      <c r="AK164" s="6">
        <f t="shared" si="70"/>
        <v>2037</v>
      </c>
      <c r="AL164" s="6">
        <f t="shared" si="70"/>
        <v>2038</v>
      </c>
      <c r="AM164" s="6">
        <f t="shared" si="70"/>
        <v>2039</v>
      </c>
      <c r="AN164" s="6">
        <f t="shared" si="70"/>
        <v>2040</v>
      </c>
      <c r="AO164" s="6">
        <f t="shared" si="70"/>
        <v>2041</v>
      </c>
      <c r="AP164" s="6">
        <f t="shared" si="70"/>
        <v>2042</v>
      </c>
      <c r="AQ164" s="6">
        <f t="shared" si="70"/>
        <v>2043</v>
      </c>
      <c r="AR164" s="6">
        <f t="shared" si="70"/>
        <v>2044</v>
      </c>
      <c r="AS164" s="6">
        <f t="shared" si="70"/>
        <v>2045</v>
      </c>
      <c r="AT164" s="6">
        <f t="shared" si="70"/>
        <v>2046</v>
      </c>
      <c r="AU164" s="6">
        <f t="shared" si="70"/>
        <v>2047</v>
      </c>
      <c r="AV164" s="6">
        <f t="shared" si="70"/>
        <v>2048</v>
      </c>
      <c r="AW164" s="6">
        <f t="shared" si="70"/>
        <v>2049</v>
      </c>
      <c r="AX164" s="6">
        <f t="shared" si="70"/>
        <v>2050</v>
      </c>
      <c r="AY164" s="6">
        <f t="shared" si="70"/>
        <v>2051</v>
      </c>
      <c r="AZ164" s="6">
        <f t="shared" si="70"/>
        <v>2052</v>
      </c>
      <c r="BA164" s="6">
        <f t="shared" si="70"/>
        <v>2053</v>
      </c>
      <c r="BB164" s="6">
        <f t="shared" si="70"/>
        <v>2054</v>
      </c>
      <c r="BC164" s="6">
        <f t="shared" si="70"/>
        <v>2055</v>
      </c>
      <c r="BD164" s="6">
        <f t="shared" si="70"/>
        <v>2056</v>
      </c>
      <c r="BE164" s="6">
        <f t="shared" si="70"/>
        <v>2057</v>
      </c>
      <c r="BF164" s="6">
        <f t="shared" si="70"/>
        <v>2058</v>
      </c>
      <c r="BG164" s="6">
        <f t="shared" si="70"/>
        <v>2059</v>
      </c>
      <c r="BH164" s="6">
        <f t="shared" si="70"/>
        <v>2060</v>
      </c>
      <c r="BI164" s="6">
        <f t="shared" si="70"/>
        <v>2061</v>
      </c>
    </row>
    <row r="165" spans="1:61">
      <c r="A165" s="388" t="s">
        <v>224</v>
      </c>
      <c r="B165" s="664" t="s">
        <v>510</v>
      </c>
      <c r="C165" s="659"/>
      <c r="D165" s="659"/>
      <c r="E165" s="659"/>
      <c r="F165" s="659"/>
      <c r="G165" s="659"/>
      <c r="H165" s="659"/>
      <c r="I165" s="659"/>
      <c r="J165" s="659"/>
      <c r="K165" s="659"/>
      <c r="L165" s="659"/>
      <c r="M165" s="659"/>
      <c r="N165" s="659"/>
      <c r="O165" s="659"/>
      <c r="P165" s="665"/>
      <c r="Q165" s="661">
        <f>DATE(2016,12,31)</f>
        <v>42735</v>
      </c>
      <c r="R165" s="661">
        <f>DATE(YEAR(Q165+1),12,31)</f>
        <v>43100</v>
      </c>
      <c r="S165" s="661">
        <f t="shared" ref="S165" si="71">DATE(YEAR(R165+1),12,31)</f>
        <v>43465</v>
      </c>
      <c r="T165" s="661">
        <f>DATE(YEAR(S165+1),12,31)</f>
        <v>43830</v>
      </c>
      <c r="U165" s="661">
        <f t="shared" ref="U165:BI165" si="72">DATE(YEAR(T165+1),12,31)</f>
        <v>44196</v>
      </c>
      <c r="V165" s="661">
        <f t="shared" si="72"/>
        <v>44561</v>
      </c>
      <c r="W165" s="661">
        <f t="shared" si="72"/>
        <v>44926</v>
      </c>
      <c r="X165" s="661">
        <f t="shared" si="72"/>
        <v>45291</v>
      </c>
      <c r="Y165" s="661">
        <f t="shared" si="72"/>
        <v>45657</v>
      </c>
      <c r="Z165" s="661">
        <f t="shared" si="72"/>
        <v>46022</v>
      </c>
      <c r="AA165" s="661">
        <f t="shared" si="72"/>
        <v>46387</v>
      </c>
      <c r="AB165" s="661">
        <f t="shared" si="72"/>
        <v>46752</v>
      </c>
      <c r="AC165" s="661">
        <f t="shared" si="72"/>
        <v>47118</v>
      </c>
      <c r="AD165" s="661">
        <f t="shared" si="72"/>
        <v>47483</v>
      </c>
      <c r="AE165" s="661">
        <f t="shared" si="72"/>
        <v>47848</v>
      </c>
      <c r="AF165" s="661">
        <f t="shared" si="72"/>
        <v>48213</v>
      </c>
      <c r="AG165" s="661">
        <f t="shared" si="72"/>
        <v>48579</v>
      </c>
      <c r="AH165" s="661">
        <f t="shared" si="72"/>
        <v>48944</v>
      </c>
      <c r="AI165" s="661">
        <f t="shared" si="72"/>
        <v>49309</v>
      </c>
      <c r="AJ165" s="661">
        <f t="shared" si="72"/>
        <v>49674</v>
      </c>
      <c r="AK165" s="661">
        <f t="shared" si="72"/>
        <v>50040</v>
      </c>
      <c r="AL165" s="661">
        <f t="shared" si="72"/>
        <v>50405</v>
      </c>
      <c r="AM165" s="661">
        <f t="shared" si="72"/>
        <v>50770</v>
      </c>
      <c r="AN165" s="661">
        <f t="shared" si="72"/>
        <v>51135</v>
      </c>
      <c r="AO165" s="661">
        <f t="shared" si="72"/>
        <v>51501</v>
      </c>
      <c r="AP165" s="661">
        <f t="shared" si="72"/>
        <v>51866</v>
      </c>
      <c r="AQ165" s="661">
        <f t="shared" si="72"/>
        <v>52231</v>
      </c>
      <c r="AR165" s="661">
        <f t="shared" si="72"/>
        <v>52596</v>
      </c>
      <c r="AS165" s="661">
        <f t="shared" si="72"/>
        <v>52962</v>
      </c>
      <c r="AT165" s="661">
        <f t="shared" si="72"/>
        <v>53327</v>
      </c>
      <c r="AU165" s="661">
        <f t="shared" si="72"/>
        <v>53692</v>
      </c>
      <c r="AV165" s="661">
        <f t="shared" si="72"/>
        <v>54057</v>
      </c>
      <c r="AW165" s="661">
        <f t="shared" si="72"/>
        <v>54423</v>
      </c>
      <c r="AX165" s="661">
        <f t="shared" si="72"/>
        <v>54788</v>
      </c>
      <c r="AY165" s="661">
        <f t="shared" si="72"/>
        <v>55153</v>
      </c>
      <c r="AZ165" s="661">
        <f t="shared" si="72"/>
        <v>55518</v>
      </c>
      <c r="BA165" s="661">
        <f t="shared" si="72"/>
        <v>55884</v>
      </c>
      <c r="BB165" s="661">
        <f t="shared" si="72"/>
        <v>56249</v>
      </c>
      <c r="BC165" s="661">
        <f t="shared" si="72"/>
        <v>56614</v>
      </c>
      <c r="BD165" s="661">
        <f t="shared" si="72"/>
        <v>56979</v>
      </c>
      <c r="BE165" s="661">
        <f t="shared" si="72"/>
        <v>57345</v>
      </c>
      <c r="BF165" s="661">
        <f t="shared" si="72"/>
        <v>57710</v>
      </c>
      <c r="BG165" s="661">
        <f t="shared" si="72"/>
        <v>58075</v>
      </c>
      <c r="BH165" s="661">
        <f t="shared" si="72"/>
        <v>58440</v>
      </c>
      <c r="BI165" s="661">
        <f t="shared" si="72"/>
        <v>58806</v>
      </c>
    </row>
    <row r="166" spans="1:61">
      <c r="A166" s="854" t="s">
        <v>71</v>
      </c>
      <c r="B166" s="403" t="s">
        <v>208</v>
      </c>
      <c r="C166" s="409"/>
      <c r="D166" s="409"/>
      <c r="E166" s="409"/>
      <c r="F166" s="409"/>
      <c r="G166" s="409"/>
      <c r="H166" s="409"/>
      <c r="I166" s="409"/>
      <c r="J166" s="409"/>
      <c r="K166" s="409"/>
      <c r="L166" s="409"/>
      <c r="M166" s="409"/>
      <c r="N166" s="409"/>
      <c r="O166" s="409"/>
      <c r="P166" s="410"/>
      <c r="Q166" s="417">
        <f>AVERAGE(W23:W24)*$B$98*$Q$101*$Q$105/100</f>
        <v>3.2607328254935237E-4</v>
      </c>
      <c r="R166" s="414">
        <f>Q166*Indeksacja!R$61</f>
        <v>3.461644020831246E-4</v>
      </c>
      <c r="S166" s="407">
        <f>R166*Indeksacja!S$61</f>
        <v>3.6831313962738739E-4</v>
      </c>
      <c r="T166" s="407">
        <f>S166*Indeksacja!T$61</f>
        <v>3.9035864991541916E-4</v>
      </c>
      <c r="U166" s="407">
        <f>T166*Indeksacja!U$61</f>
        <v>3.9712290148553181E-4</v>
      </c>
      <c r="V166" s="407">
        <f>U166*Indeksacja!V$61</f>
        <v>4.4052527961679048E-4</v>
      </c>
      <c r="W166" s="407">
        <f>V166*Indeksacja!W$61</f>
        <v>5.2662290083934857E-4</v>
      </c>
      <c r="X166" s="407">
        <f>W166*Indeksacja!X$61</f>
        <v>5.8759980139979457E-4</v>
      </c>
      <c r="Y166" s="407">
        <f>X166*Indeksacja!Y$61</f>
        <v>6.0370542731621318E-4</v>
      </c>
      <c r="Z166" s="407">
        <f>Y166*Indeksacja!Z$61</f>
        <v>6.2317959739379097E-4</v>
      </c>
      <c r="AA166" s="407">
        <f>Z166*Indeksacja!AA$61</f>
        <v>6.4183594083668547E-4</v>
      </c>
      <c r="AB166" s="407">
        <f>AA166*Indeksacja!AB$61</f>
        <v>6.577229976564361E-4</v>
      </c>
      <c r="AC166" s="407">
        <f>AB166*Indeksacja!AC$61</f>
        <v>6.740604197996218E-4</v>
      </c>
      <c r="AD166" s="407">
        <f>AC166*Indeksacja!AD$61</f>
        <v>6.9036377214743826E-4</v>
      </c>
      <c r="AE166" s="407">
        <f>AD166*Indeksacja!AE$61</f>
        <v>7.0659965537283535E-4</v>
      </c>
      <c r="AF166" s="407">
        <f>AE166*Indeksacja!AF$61</f>
        <v>7.2183618989128998E-4</v>
      </c>
      <c r="AG166" s="407">
        <f>AF166*Indeksacja!AG$61</f>
        <v>7.3647954184102632E-4</v>
      </c>
      <c r="AH166" s="407">
        <f>AG166*Indeksacja!AH$61</f>
        <v>7.516287572565403E-4</v>
      </c>
      <c r="AI166" s="407">
        <f>AH166*Indeksacja!AI$61</f>
        <v>7.6721535526240925E-4</v>
      </c>
      <c r="AJ166" s="407">
        <f>AI166*Indeksacja!AJ$61</f>
        <v>7.8201575407893314E-4</v>
      </c>
      <c r="AK166" s="407">
        <f>AJ166*Indeksacja!AK$61</f>
        <v>7.9658315743489369E-4</v>
      </c>
      <c r="AL166" s="407">
        <f>AK166*Indeksacja!AL$61</f>
        <v>8.108409425908429E-4</v>
      </c>
      <c r="AM166" s="407">
        <f>AL166*Indeksacja!AM$61</f>
        <v>8.2479455706509328E-4</v>
      </c>
      <c r="AN166" s="407">
        <f>AM166*Indeksacja!AN$61</f>
        <v>8.3773927847242697E-4</v>
      </c>
      <c r="AO166" s="407">
        <f>AN166*Indeksacja!AO$61</f>
        <v>8.4960456348520306E-4</v>
      </c>
      <c r="AP166" s="407">
        <f>AO166*Indeksacja!AP$61</f>
        <v>8.610144067279005E-4</v>
      </c>
      <c r="AQ166" s="407">
        <f>AP166*Indeksacja!AQ$61</f>
        <v>8.7124603806830263E-4</v>
      </c>
      <c r="AR166" s="407">
        <f>AQ166*Indeksacja!AR$61</f>
        <v>8.8090570778656468E-4</v>
      </c>
      <c r="AS166" s="407">
        <f>AR166*Indeksacja!AS$61</f>
        <v>8.9072366039676467E-4</v>
      </c>
      <c r="AT166" s="407">
        <f>AS166*Indeksacja!AT$61</f>
        <v>9.007555987641788E-4</v>
      </c>
      <c r="AU166" s="407">
        <f>AT166*Indeksacja!AU$61</f>
        <v>9.109486732412946E-4</v>
      </c>
      <c r="AV166" s="407">
        <f>AU166*Indeksacja!AV$61</f>
        <v>9.2130459760030731E-4</v>
      </c>
      <c r="AW166" s="407">
        <f>AV166*Indeksacja!AW$61</f>
        <v>9.3183577757329525E-4</v>
      </c>
      <c r="AX166" s="407">
        <f>AW166*Indeksacja!AX$61</f>
        <v>9.4175273432020861E-4</v>
      </c>
      <c r="AY166" s="407">
        <f>AX166*Indeksacja!AY$61</f>
        <v>9.5184469403928424E-4</v>
      </c>
      <c r="AZ166" s="407">
        <f>AY166*Indeksacja!AZ$61</f>
        <v>9.6212182472206768E-4</v>
      </c>
      <c r="BA166" s="407">
        <f>AZ166*Indeksacja!BA$61</f>
        <v>9.7265906049198291E-4</v>
      </c>
      <c r="BB166" s="407">
        <f>BA166*Indeksacja!BB$61</f>
        <v>9.8418569189380077E-4</v>
      </c>
      <c r="BC166" s="407">
        <f>BB166*Indeksacja!BC$61</f>
        <v>9.9594974377227542E-4</v>
      </c>
      <c r="BD166" s="407">
        <f>BC166*Indeksacja!BD$61</f>
        <v>1.0079676083646042E-3</v>
      </c>
      <c r="BE166" s="407">
        <f>BD166*Indeksacja!BE$61</f>
        <v>1.020243774268617E-3</v>
      </c>
      <c r="BF166" s="407">
        <f>BE166*Indeksacja!BF$61</f>
        <v>1.0336070567378689E-3</v>
      </c>
      <c r="BG166" s="407">
        <f>BF166*Indeksacja!BG$61</f>
        <v>1.047335245647269E-3</v>
      </c>
      <c r="BH166" s="407">
        <f>BG166*Indeksacja!BH$61</f>
        <v>1.0613689904140145E-3</v>
      </c>
      <c r="BI166" s="407">
        <f>BH166*Indeksacja!BI$61</f>
        <v>1.0765086074066648E-3</v>
      </c>
    </row>
    <row r="167" spans="1:61">
      <c r="A167" s="854"/>
      <c r="B167" s="404" t="s">
        <v>209</v>
      </c>
      <c r="C167" s="411"/>
      <c r="D167" s="411"/>
      <c r="E167" s="411"/>
      <c r="F167" s="411"/>
      <c r="G167" s="411"/>
      <c r="H167" s="411"/>
      <c r="I167" s="411"/>
      <c r="J167" s="411"/>
      <c r="K167" s="411"/>
      <c r="L167" s="411"/>
      <c r="M167" s="411"/>
      <c r="N167" s="411"/>
      <c r="O167" s="411"/>
      <c r="P167" s="412"/>
      <c r="Q167" s="418">
        <f>AVERAGE(W25:W26)*$B$98*$Q$101*$Q$105/100</f>
        <v>6.0323557271630193E-4</v>
      </c>
      <c r="R167" s="415">
        <f>Q167*Indeksacja!R$61</f>
        <v>6.4040414385378058E-4</v>
      </c>
      <c r="S167" s="408">
        <f>R167*Indeksacja!S$61</f>
        <v>6.8137930831066679E-4</v>
      </c>
      <c r="T167" s="408">
        <f>S167*Indeksacja!T$61</f>
        <v>7.2216350234352556E-4</v>
      </c>
      <c r="U167" s="408">
        <f>T167*Indeksacja!U$61</f>
        <v>7.3467736774823398E-4</v>
      </c>
      <c r="V167" s="408">
        <f>U167*Indeksacja!V$61</f>
        <v>8.1497176729106256E-4</v>
      </c>
      <c r="W167" s="408">
        <f>V167*Indeksacja!W$61</f>
        <v>9.7425236655279506E-4</v>
      </c>
      <c r="X167" s="408">
        <f>W167*Indeksacja!X$61</f>
        <v>1.0870596325896203E-3</v>
      </c>
      <c r="Y167" s="408">
        <f>X167*Indeksacja!Y$61</f>
        <v>1.1168550405349948E-3</v>
      </c>
      <c r="Z167" s="408">
        <f>Y167*Indeksacja!Z$61</f>
        <v>1.1528822551785138E-3</v>
      </c>
      <c r="AA167" s="408">
        <f>Z167*Indeksacja!AA$61</f>
        <v>1.1873964905478685E-3</v>
      </c>
      <c r="AB167" s="408">
        <f>AA167*Indeksacja!AB$61</f>
        <v>1.2167875456644071E-3</v>
      </c>
      <c r="AC167" s="408">
        <f>AB167*Indeksacja!AC$61</f>
        <v>1.2470117766293007E-3</v>
      </c>
      <c r="AD167" s="408">
        <f>AC167*Indeksacja!AD$61</f>
        <v>1.2771729784727612E-3</v>
      </c>
      <c r="AE167" s="408">
        <f>AD167*Indeksacja!AE$61</f>
        <v>1.3072093624397459E-3</v>
      </c>
      <c r="AF167" s="408">
        <f>AE167*Indeksacja!AF$61</f>
        <v>1.3353969512988869E-3</v>
      </c>
      <c r="AG167" s="408">
        <f>AF167*Indeksacja!AG$61</f>
        <v>1.362487152405899E-3</v>
      </c>
      <c r="AH167" s="408">
        <f>AG167*Indeksacja!AH$61</f>
        <v>1.3905132009245998E-3</v>
      </c>
      <c r="AI167" s="408">
        <f>AH167*Indeksacja!AI$61</f>
        <v>1.4193484072354573E-3</v>
      </c>
      <c r="AJ167" s="408">
        <f>AI167*Indeksacja!AJ$61</f>
        <v>1.4467291450460265E-3</v>
      </c>
      <c r="AK167" s="408">
        <f>AJ167*Indeksacja!AK$61</f>
        <v>1.4736788412545534E-3</v>
      </c>
      <c r="AL167" s="408">
        <f>AK167*Indeksacja!AL$61</f>
        <v>1.5000557437930594E-3</v>
      </c>
      <c r="AM167" s="408">
        <f>AL167*Indeksacja!AM$61</f>
        <v>1.5258699305704226E-3</v>
      </c>
      <c r="AN167" s="408">
        <f>AM167*Indeksacja!AN$61</f>
        <v>1.5498176651739899E-3</v>
      </c>
      <c r="AO167" s="408">
        <f>AN167*Indeksacja!AO$61</f>
        <v>1.5717684424476255E-3</v>
      </c>
      <c r="AP167" s="408">
        <f>AO167*Indeksacja!AP$61</f>
        <v>1.5928766524466156E-3</v>
      </c>
      <c r="AQ167" s="408">
        <f>AP167*Indeksacja!AQ$61</f>
        <v>1.6118051704263594E-3</v>
      </c>
      <c r="AR167" s="408">
        <f>AQ167*Indeksacja!AR$61</f>
        <v>1.6296755594051443E-3</v>
      </c>
      <c r="AS167" s="408">
        <f>AR167*Indeksacja!AS$61</f>
        <v>1.6478387717340144E-3</v>
      </c>
      <c r="AT167" s="408">
        <f>AS167*Indeksacja!AT$61</f>
        <v>1.6663978577137304E-3</v>
      </c>
      <c r="AU167" s="408">
        <f>AT167*Indeksacja!AU$61</f>
        <v>1.6852550454963947E-3</v>
      </c>
      <c r="AV167" s="408">
        <f>AU167*Indeksacja!AV$61</f>
        <v>1.7044135055605683E-3</v>
      </c>
      <c r="AW167" s="408">
        <f>AV167*Indeksacja!AW$61</f>
        <v>1.723896188510596E-3</v>
      </c>
      <c r="AX167" s="408">
        <f>AW167*Indeksacja!AX$61</f>
        <v>1.7422425584923856E-3</v>
      </c>
      <c r="AY167" s="408">
        <f>AX167*Indeksacja!AY$61</f>
        <v>1.7609126839726755E-3</v>
      </c>
      <c r="AZ167" s="408">
        <f>AY167*Indeksacja!AZ$61</f>
        <v>1.7799253757358247E-3</v>
      </c>
      <c r="BA167" s="408">
        <f>AZ167*Indeksacja!BA$61</f>
        <v>1.7994192619101681E-3</v>
      </c>
      <c r="BB167" s="408">
        <f>BA167*Indeksacja!BB$61</f>
        <v>1.8207435300035312E-3</v>
      </c>
      <c r="BC167" s="408">
        <f>BB167*Indeksacja!BC$61</f>
        <v>1.8425070259787094E-3</v>
      </c>
      <c r="BD167" s="408">
        <f>BC167*Indeksacja!BD$61</f>
        <v>1.8647400754745174E-3</v>
      </c>
      <c r="BE167" s="408">
        <f>BD167*Indeksacja!BE$61</f>
        <v>1.8874509823969411E-3</v>
      </c>
      <c r="BF167" s="408">
        <f>BE167*Indeksacja!BF$61</f>
        <v>1.9121730549650573E-3</v>
      </c>
      <c r="BG167" s="408">
        <f>BF167*Indeksacja!BG$61</f>
        <v>1.9375702044474475E-3</v>
      </c>
      <c r="BH167" s="408">
        <f>BG167*Indeksacja!BH$61</f>
        <v>1.9635326322659272E-3</v>
      </c>
      <c r="BI167" s="408">
        <f>BH167*Indeksacja!BI$61</f>
        <v>1.9915409237023303E-3</v>
      </c>
    </row>
    <row r="168" spans="1:61">
      <c r="A168" s="854"/>
      <c r="B168" s="402" t="s">
        <v>227</v>
      </c>
      <c r="C168" s="377"/>
      <c r="D168" s="377"/>
      <c r="E168" s="377"/>
      <c r="F168" s="377"/>
      <c r="G168" s="377"/>
      <c r="H168" s="377"/>
      <c r="I168" s="377"/>
      <c r="J168" s="377"/>
      <c r="K168" s="377"/>
      <c r="L168" s="377"/>
      <c r="M168" s="377"/>
      <c r="N168" s="377"/>
      <c r="O168" s="377"/>
      <c r="P168" s="413"/>
      <c r="Q168" s="374">
        <f>Q166*$B$90+Q167*$B$91</f>
        <v>3.6764762607439483E-4</v>
      </c>
      <c r="R168" s="374">
        <f>R166*$B$90+R167*$B$91</f>
        <v>3.9030036334872302E-4</v>
      </c>
      <c r="S168" s="374">
        <f t="shared" ref="S168:BI168" si="73">S166*$B$90+S167*$B$91</f>
        <v>4.1527306492987931E-4</v>
      </c>
      <c r="T168" s="374">
        <f t="shared" si="73"/>
        <v>4.4012937777963514E-4</v>
      </c>
      <c r="U168" s="374">
        <f t="shared" si="73"/>
        <v>4.4775607142493715E-4</v>
      </c>
      <c r="V168" s="374">
        <f t="shared" si="73"/>
        <v>4.9669225276793134E-4</v>
      </c>
      <c r="W168" s="374">
        <f t="shared" si="73"/>
        <v>5.9376732069636555E-4</v>
      </c>
      <c r="X168" s="374">
        <f t="shared" si="73"/>
        <v>6.6251877607826845E-4</v>
      </c>
      <c r="Y168" s="374">
        <f t="shared" si="73"/>
        <v>6.8067786929903041E-4</v>
      </c>
      <c r="Z168" s="374">
        <f t="shared" si="73"/>
        <v>7.026349960614995E-4</v>
      </c>
      <c r="AA168" s="374">
        <f t="shared" si="73"/>
        <v>7.2367002329336294E-4</v>
      </c>
      <c r="AB168" s="374">
        <f t="shared" si="73"/>
        <v>7.4158267985763174E-4</v>
      </c>
      <c r="AC168" s="374">
        <f t="shared" si="73"/>
        <v>7.6000312332407359E-4</v>
      </c>
      <c r="AD168" s="374">
        <f t="shared" si="73"/>
        <v>7.7838515309623668E-4</v>
      </c>
      <c r="AE168" s="374">
        <f t="shared" si="73"/>
        <v>7.9669111143287191E-4</v>
      </c>
      <c r="AF168" s="374">
        <f t="shared" si="73"/>
        <v>8.138703041024295E-4</v>
      </c>
      <c r="AG168" s="374">
        <f t="shared" si="73"/>
        <v>8.303806834257572E-4</v>
      </c>
      <c r="AH168" s="374">
        <f t="shared" si="73"/>
        <v>8.4746142380674923E-4</v>
      </c>
      <c r="AI168" s="374">
        <f t="shared" si="73"/>
        <v>8.6503531305836645E-4</v>
      </c>
      <c r="AJ168" s="374">
        <f t="shared" si="73"/>
        <v>8.8172276272399717E-4</v>
      </c>
      <c r="AK168" s="374">
        <f t="shared" si="73"/>
        <v>8.9814751000784267E-4</v>
      </c>
      <c r="AL168" s="374">
        <f t="shared" si="73"/>
        <v>9.1422316277117537E-4</v>
      </c>
      <c r="AM168" s="374">
        <f t="shared" si="73"/>
        <v>9.299558630908927E-4</v>
      </c>
      <c r="AN168" s="374">
        <f t="shared" si="73"/>
        <v>9.4455103647766146E-4</v>
      </c>
      <c r="AO168" s="374">
        <f t="shared" si="73"/>
        <v>9.5792914532956647E-4</v>
      </c>
      <c r="AP168" s="374">
        <f t="shared" si="73"/>
        <v>9.7079374358570783E-4</v>
      </c>
      <c r="AQ168" s="374">
        <f t="shared" si="73"/>
        <v>9.8232990792201111E-4</v>
      </c>
      <c r="AR168" s="374">
        <f t="shared" si="73"/>
        <v>9.9322118552935173E-4</v>
      </c>
      <c r="AS168" s="374">
        <f t="shared" si="73"/>
        <v>1.0042909270973521E-3</v>
      </c>
      <c r="AT168" s="374">
        <f t="shared" si="73"/>
        <v>1.0156019376066116E-3</v>
      </c>
      <c r="AU168" s="374">
        <f t="shared" si="73"/>
        <v>1.0270946290795598E-3</v>
      </c>
      <c r="AV168" s="374">
        <f t="shared" si="73"/>
        <v>1.0387709337943464E-3</v>
      </c>
      <c r="AW168" s="374">
        <f t="shared" si="73"/>
        <v>1.0506448392138903E-3</v>
      </c>
      <c r="AX168" s="374">
        <f t="shared" si="73"/>
        <v>1.061826207946035E-3</v>
      </c>
      <c r="AY168" s="374">
        <f t="shared" si="73"/>
        <v>1.073204892529293E-3</v>
      </c>
      <c r="AZ168" s="374">
        <f t="shared" si="73"/>
        <v>1.0847923573741314E-3</v>
      </c>
      <c r="BA168" s="374">
        <f t="shared" si="73"/>
        <v>1.0966730907047107E-3</v>
      </c>
      <c r="BB168" s="374">
        <f t="shared" si="73"/>
        <v>1.1096693676102604E-3</v>
      </c>
      <c r="BC168" s="374">
        <f t="shared" si="73"/>
        <v>1.1229333361032405E-3</v>
      </c>
      <c r="BD168" s="374">
        <f t="shared" si="73"/>
        <v>1.1364834784310912E-3</v>
      </c>
      <c r="BE168" s="374">
        <f t="shared" si="73"/>
        <v>1.1503248554878655E-3</v>
      </c>
      <c r="BF168" s="374">
        <f t="shared" si="73"/>
        <v>1.1653919564719472E-3</v>
      </c>
      <c r="BG168" s="374">
        <f t="shared" si="73"/>
        <v>1.1808704894672958E-3</v>
      </c>
      <c r="BH168" s="374">
        <f t="shared" si="73"/>
        <v>1.1966935366918014E-3</v>
      </c>
      <c r="BI168" s="374">
        <f t="shared" si="73"/>
        <v>1.2137634548510146E-3</v>
      </c>
    </row>
    <row r="169" spans="1:61">
      <c r="A169" s="854" t="s">
        <v>162</v>
      </c>
      <c r="B169" s="403" t="s">
        <v>208</v>
      </c>
      <c r="C169" s="409"/>
      <c r="D169" s="409"/>
      <c r="E169" s="409"/>
      <c r="F169" s="409"/>
      <c r="G169" s="409"/>
      <c r="H169" s="409"/>
      <c r="I169" s="409"/>
      <c r="J169" s="409"/>
      <c r="K169" s="409"/>
      <c r="L169" s="409"/>
      <c r="M169" s="409"/>
      <c r="N169" s="409"/>
      <c r="O169" s="409"/>
      <c r="P169" s="410"/>
      <c r="Q169" s="417">
        <f>AVERAGE(W27:W28)*$B$98*$Q$101*$Q$105/100</f>
        <v>4.0680403851534978E-3</v>
      </c>
      <c r="R169" s="414">
        <f>Q169*Indeksacja!R$61</f>
        <v>4.3186941185944195E-3</v>
      </c>
      <c r="S169" s="407">
        <f>R169*Indeksacja!S$61</f>
        <v>4.5950183795267436E-3</v>
      </c>
      <c r="T169" s="407">
        <f>S169*Indeksacja!T$61</f>
        <v>4.8700547930036944E-3</v>
      </c>
      <c r="U169" s="407">
        <f>T169*Indeksacja!U$61</f>
        <v>4.9544445606884832E-3</v>
      </c>
      <c r="V169" s="407">
        <f>U169*Indeksacja!V$61</f>
        <v>5.4959259898605898E-3</v>
      </c>
      <c r="W169" s="407">
        <f>V169*Indeksacja!W$61</f>
        <v>6.5700667396351555E-3</v>
      </c>
      <c r="X169" s="407">
        <f>W169*Indeksacja!X$61</f>
        <v>7.3308052218008608E-3</v>
      </c>
      <c r="Y169" s="407">
        <f>X169*Indeksacja!Y$61</f>
        <v>7.531736546636557E-3</v>
      </c>
      <c r="Z169" s="407">
        <f>Y169*Indeksacja!Z$61</f>
        <v>7.7746933130528415E-3</v>
      </c>
      <c r="AA169" s="407">
        <f>Z169*Indeksacja!AA$61</f>
        <v>8.0074469994990821E-3</v>
      </c>
      <c r="AB169" s="407">
        <f>AA169*Indeksacja!AB$61</f>
        <v>8.2056514897249615E-3</v>
      </c>
      <c r="AC169" s="407">
        <f>AB169*Indeksacja!AC$61</f>
        <v>8.4094746688218921E-3</v>
      </c>
      <c r="AD169" s="407">
        <f>AC169*Indeksacja!AD$61</f>
        <v>8.6128727983643405E-3</v>
      </c>
      <c r="AE169" s="407">
        <f>AD169*Indeksacja!AE$61</f>
        <v>8.8154291934579958E-3</v>
      </c>
      <c r="AF169" s="407">
        <f>AE169*Indeksacja!AF$61</f>
        <v>9.0055178669802647E-3</v>
      </c>
      <c r="AG169" s="407">
        <f>AF169*Indeksacja!AG$61</f>
        <v>9.1882060855298098E-3</v>
      </c>
      <c r="AH169" s="407">
        <f>AG169*Indeksacja!AH$61</f>
        <v>9.377205379283271E-3</v>
      </c>
      <c r="AI169" s="407">
        <f>AH169*Indeksacja!AI$61</f>
        <v>9.571661391316183E-3</v>
      </c>
      <c r="AJ169" s="407">
        <f>AI169*Indeksacja!AJ$61</f>
        <v>9.756308902548215E-3</v>
      </c>
      <c r="AK169" s="407">
        <f>AJ169*Indeksacja!AK$61</f>
        <v>9.9380495980616497E-3</v>
      </c>
      <c r="AL169" s="407">
        <f>AK169*Indeksacja!AL$61</f>
        <v>1.0115927544282113E-2</v>
      </c>
      <c r="AM169" s="407">
        <f>AL169*Indeksacja!AM$61</f>
        <v>1.029001070361462E-2</v>
      </c>
      <c r="AN169" s="407">
        <f>AM169*Indeksacja!AN$61</f>
        <v>1.0451507067400955E-2</v>
      </c>
      <c r="AO169" s="407">
        <f>AN169*Indeksacja!AO$61</f>
        <v>1.0599536547878319E-2</v>
      </c>
      <c r="AP169" s="407">
        <f>AO169*Indeksacja!AP$61</f>
        <v>1.0741884006512985E-2</v>
      </c>
      <c r="AQ169" s="407">
        <f>AP169*Indeksacja!AQ$61</f>
        <v>1.086953227371641E-2</v>
      </c>
      <c r="AR169" s="407">
        <f>AQ169*Indeksacja!AR$61</f>
        <v>1.09900448352299E-2</v>
      </c>
      <c r="AS169" s="407">
        <f>AR169*Indeksacja!AS$61</f>
        <v>1.1112532109886546E-2</v>
      </c>
      <c r="AT169" s="407">
        <f>AS169*Indeksacja!AT$61</f>
        <v>1.1237689038111214E-2</v>
      </c>
      <c r="AU169" s="407">
        <f>AT169*Indeksacja!AU$61</f>
        <v>1.136485627578733E-2</v>
      </c>
      <c r="AV169" s="407">
        <f>AU169*Indeksacja!AV$61</f>
        <v>1.1494055203674599E-2</v>
      </c>
      <c r="AW169" s="407">
        <f>AV169*Indeksacja!AW$61</f>
        <v>1.1625440593788401E-2</v>
      </c>
      <c r="AX169" s="407">
        <f>AW169*Indeksacja!AX$61</f>
        <v>1.1749163028907439E-2</v>
      </c>
      <c r="AY169" s="407">
        <f>AX169*Indeksacja!AY$61</f>
        <v>1.1875068774332406E-2</v>
      </c>
      <c r="AZ169" s="407">
        <f>AY169*Indeksacja!AZ$61</f>
        <v>1.2003284684370161E-2</v>
      </c>
      <c r="BA169" s="407">
        <f>AZ169*Indeksacja!BA$61</f>
        <v>1.2134745625679915E-2</v>
      </c>
      <c r="BB169" s="407">
        <f>BA169*Indeksacja!BB$61</f>
        <v>1.2278550115519638E-2</v>
      </c>
      <c r="BC169" s="407">
        <f>BB169*Indeksacja!BC$61</f>
        <v>1.2425316626901731E-2</v>
      </c>
      <c r="BD169" s="407">
        <f>BC169*Indeksacja!BD$61</f>
        <v>1.2575249666869518E-2</v>
      </c>
      <c r="BE169" s="407">
        <f>BD169*Indeksacja!BE$61</f>
        <v>1.2728405234482789E-2</v>
      </c>
      <c r="BF169" s="407">
        <f>BE169*Indeksacja!BF$61</f>
        <v>1.2895123502039417E-2</v>
      </c>
      <c r="BG169" s="407">
        <f>BF169*Indeksacja!BG$61</f>
        <v>1.306639428651408E-2</v>
      </c>
      <c r="BH169" s="407">
        <f>BG169*Indeksacja!BH$61</f>
        <v>1.324147713911614E-2</v>
      </c>
      <c r="BI169" s="407">
        <f>BH169*Indeksacja!BI$61</f>
        <v>1.3430356684414477E-2</v>
      </c>
    </row>
    <row r="170" spans="1:61">
      <c r="A170" s="854"/>
      <c r="B170" s="404" t="s">
        <v>209</v>
      </c>
      <c r="C170" s="411"/>
      <c r="D170" s="411"/>
      <c r="E170" s="411"/>
      <c r="F170" s="411"/>
      <c r="G170" s="411"/>
      <c r="H170" s="411"/>
      <c r="I170" s="411"/>
      <c r="J170" s="411"/>
      <c r="K170" s="411"/>
      <c r="L170" s="411"/>
      <c r="M170" s="411"/>
      <c r="N170" s="411"/>
      <c r="O170" s="411"/>
      <c r="P170" s="412"/>
      <c r="Q170" s="418">
        <f>AVERAGE(W29:W30)*$B$98*$Q$101*$Q$105/100</f>
        <v>7.4104303232255617E-3</v>
      </c>
      <c r="R170" s="415">
        <f>Q170*Indeksacja!R$61</f>
        <v>7.8670265836017269E-3</v>
      </c>
      <c r="S170" s="408">
        <f>R170*Indeksacja!S$61</f>
        <v>8.3703848318946623E-3</v>
      </c>
      <c r="T170" s="408">
        <f>S170*Indeksacja!T$61</f>
        <v>8.8713971094175406E-3</v>
      </c>
      <c r="U170" s="408">
        <f>T170*Indeksacja!U$61</f>
        <v>9.0251233348757776E-3</v>
      </c>
      <c r="V170" s="408">
        <f>U170*Indeksacja!V$61</f>
        <v>1.0011497613962264E-2</v>
      </c>
      <c r="W170" s="408">
        <f>V170*Indeksacja!W$61</f>
        <v>1.1968175628416474E-2</v>
      </c>
      <c r="X170" s="408">
        <f>W170*Indeksacja!X$61</f>
        <v>1.3353953295929139E-2</v>
      </c>
      <c r="Y170" s="408">
        <f>X170*Indeksacja!Y$61</f>
        <v>1.3719974141710922E-2</v>
      </c>
      <c r="Z170" s="408">
        <f>Y170*Indeksacja!Z$61</f>
        <v>1.41625494405341E-2</v>
      </c>
      <c r="AA170" s="408">
        <f>Z170*Indeksacja!AA$61</f>
        <v>1.4586538588276712E-2</v>
      </c>
      <c r="AB170" s="408">
        <f>AA170*Indeksacja!AB$61</f>
        <v>1.4947592173174666E-2</v>
      </c>
      <c r="AC170" s="408">
        <f>AB170*Indeksacja!AC$61</f>
        <v>1.531888088320529E-2</v>
      </c>
      <c r="AD170" s="408">
        <f>AC170*Indeksacja!AD$61</f>
        <v>1.5689395313777211E-2</v>
      </c>
      <c r="AE170" s="408">
        <f>AD170*Indeksacja!AE$61</f>
        <v>1.6058376422677545E-2</v>
      </c>
      <c r="AF170" s="408">
        <f>AE170*Indeksacja!AF$61</f>
        <v>1.6404646060391083E-2</v>
      </c>
      <c r="AG170" s="408">
        <f>AF170*Indeksacja!AG$61</f>
        <v>1.6737434869316468E-2</v>
      </c>
      <c r="AH170" s="408">
        <f>AG170*Indeksacja!AH$61</f>
        <v>1.7081720069288993E-2</v>
      </c>
      <c r="AI170" s="408">
        <f>AH170*Indeksacja!AI$61</f>
        <v>1.7435945345262459E-2</v>
      </c>
      <c r="AJ170" s="408">
        <f>AI170*Indeksacja!AJ$61</f>
        <v>1.777230324410135E-2</v>
      </c>
      <c r="AK170" s="408">
        <f>AJ170*Indeksacja!AK$61</f>
        <v>1.8103366024577173E-2</v>
      </c>
      <c r="AL170" s="408">
        <f>AK170*Indeksacja!AL$61</f>
        <v>1.8427392337422015E-2</v>
      </c>
      <c r="AM170" s="408">
        <f>AL170*Indeksacja!AM$61</f>
        <v>1.8744505984422313E-2</v>
      </c>
      <c r="AN170" s="408">
        <f>AM170*Indeksacja!AN$61</f>
        <v>1.9038691252508771E-2</v>
      </c>
      <c r="AO170" s="408">
        <f>AN170*Indeksacja!AO$61</f>
        <v>1.9308344954783754E-2</v>
      </c>
      <c r="AP170" s="408">
        <f>AO170*Indeksacja!AP$61</f>
        <v>1.9567648163215552E-2</v>
      </c>
      <c r="AQ170" s="408">
        <f>AP170*Indeksacja!AQ$61</f>
        <v>1.9800175006715846E-2</v>
      </c>
      <c r="AR170" s="408">
        <f>AQ170*Indeksacja!AR$61</f>
        <v>2.0019703294445825E-2</v>
      </c>
      <c r="AS170" s="408">
        <f>AR170*Indeksacja!AS$61</f>
        <v>2.0242828762333877E-2</v>
      </c>
      <c r="AT170" s="408">
        <f>AS170*Indeksacja!AT$61</f>
        <v>2.0470817328883679E-2</v>
      </c>
      <c r="AU170" s="408">
        <f>AT170*Indeksacja!AU$61</f>
        <v>2.0702467918596385E-2</v>
      </c>
      <c r="AV170" s="408">
        <f>AU170*Indeksacja!AV$61</f>
        <v>2.0937819479126166E-2</v>
      </c>
      <c r="AW170" s="408">
        <f>AV170*Indeksacja!AW$61</f>
        <v>2.117715394652266E-2</v>
      </c>
      <c r="AX170" s="408">
        <f>AW170*Indeksacja!AX$61</f>
        <v>2.1402529409415175E-2</v>
      </c>
      <c r="AY170" s="408">
        <f>AX170*Indeksacja!AY$61</f>
        <v>2.1631882037567683E-2</v>
      </c>
      <c r="AZ170" s="408">
        <f>AY170*Indeksacja!AZ$61</f>
        <v>2.1865442911528348E-2</v>
      </c>
      <c r="BA170" s="408">
        <f>AZ170*Indeksacja!BA$61</f>
        <v>2.2104915004616928E-2</v>
      </c>
      <c r="BB170" s="408">
        <f>BA170*Indeksacja!BB$61</f>
        <v>2.2366872372595235E-2</v>
      </c>
      <c r="BC170" s="408">
        <f>BB170*Indeksacja!BC$61</f>
        <v>2.2634225423058832E-2</v>
      </c>
      <c r="BD170" s="408">
        <f>BC170*Indeksacja!BD$61</f>
        <v>2.2907346690459612E-2</v>
      </c>
      <c r="BE170" s="408">
        <f>BD170*Indeksacja!BE$61</f>
        <v>2.3186338183895677E-2</v>
      </c>
      <c r="BF170" s="408">
        <f>BE170*Indeksacja!BF$61</f>
        <v>2.349003578479613E-2</v>
      </c>
      <c r="BG170" s="408">
        <f>BF170*Indeksacja!BG$61</f>
        <v>2.3802026348947274E-2</v>
      </c>
      <c r="BH170" s="408">
        <f>BG170*Indeksacja!BH$61</f>
        <v>2.4120961058822377E-2</v>
      </c>
      <c r="BI170" s="408">
        <f>BH170*Indeksacja!BI$61</f>
        <v>2.446502812241989E-2</v>
      </c>
    </row>
    <row r="171" spans="1:61">
      <c r="A171" s="854"/>
      <c r="B171" s="402" t="s">
        <v>227</v>
      </c>
      <c r="C171" s="377"/>
      <c r="D171" s="377"/>
      <c r="E171" s="377"/>
      <c r="F171" s="377"/>
      <c r="G171" s="377"/>
      <c r="H171" s="377"/>
      <c r="I171" s="377"/>
      <c r="J171" s="377"/>
      <c r="K171" s="377"/>
      <c r="L171" s="377"/>
      <c r="M171" s="377"/>
      <c r="N171" s="377"/>
      <c r="O171" s="377"/>
      <c r="P171" s="413"/>
      <c r="Q171" s="374">
        <f>Q169*$B$90+Q170*$B$91</f>
        <v>4.569398875864307E-3</v>
      </c>
      <c r="R171" s="374">
        <f>R169*$B$90+R170*$B$91</f>
        <v>4.8509439883455156E-3</v>
      </c>
      <c r="S171" s="374">
        <f t="shared" ref="S171:BI171" si="74">S169*$B$90+S170*$B$91</f>
        <v>5.1613233473819312E-3</v>
      </c>
      <c r="T171" s="374">
        <f t="shared" si="74"/>
        <v>5.4702561404657716E-3</v>
      </c>
      <c r="U171" s="374">
        <f t="shared" si="74"/>
        <v>5.5650463768165776E-3</v>
      </c>
      <c r="V171" s="374">
        <f t="shared" si="74"/>
        <v>6.173261733475841E-3</v>
      </c>
      <c r="W171" s="374">
        <f t="shared" si="74"/>
        <v>7.3797830729523534E-3</v>
      </c>
      <c r="X171" s="374">
        <f t="shared" si="74"/>
        <v>8.2342774329201025E-3</v>
      </c>
      <c r="Y171" s="374">
        <f t="shared" si="74"/>
        <v>8.4599721858977118E-3</v>
      </c>
      <c r="Z171" s="374">
        <f t="shared" si="74"/>
        <v>8.7328717321750304E-3</v>
      </c>
      <c r="AA171" s="374">
        <f t="shared" si="74"/>
        <v>8.9943107378157271E-3</v>
      </c>
      <c r="AB171" s="374">
        <f t="shared" si="74"/>
        <v>9.2169425922424171E-3</v>
      </c>
      <c r="AC171" s="374">
        <f t="shared" si="74"/>
        <v>9.445885600979401E-3</v>
      </c>
      <c r="AD171" s="374">
        <f t="shared" si="74"/>
        <v>9.6743511756762716E-3</v>
      </c>
      <c r="AE171" s="374">
        <f t="shared" si="74"/>
        <v>9.9018712778409269E-3</v>
      </c>
      <c r="AF171" s="374">
        <f t="shared" si="74"/>
        <v>1.0115387095991888E-2</v>
      </c>
      <c r="AG171" s="374">
        <f t="shared" si="74"/>
        <v>1.0320590403097808E-2</v>
      </c>
      <c r="AH171" s="374">
        <f t="shared" si="74"/>
        <v>1.0532882582784129E-2</v>
      </c>
      <c r="AI171" s="374">
        <f t="shared" si="74"/>
        <v>1.0751303984408125E-2</v>
      </c>
      <c r="AJ171" s="374">
        <f t="shared" si="74"/>
        <v>1.0958708053781185E-2</v>
      </c>
      <c r="AK171" s="374">
        <f t="shared" si="74"/>
        <v>1.1162847062038978E-2</v>
      </c>
      <c r="AL171" s="374">
        <f t="shared" si="74"/>
        <v>1.1362647263253098E-2</v>
      </c>
      <c r="AM171" s="374">
        <f t="shared" si="74"/>
        <v>1.1558184995735774E-2</v>
      </c>
      <c r="AN171" s="374">
        <f t="shared" si="74"/>
        <v>1.1739584695167128E-2</v>
      </c>
      <c r="AO171" s="374">
        <f t="shared" si="74"/>
        <v>1.1905857808914134E-2</v>
      </c>
      <c r="AP171" s="374">
        <f t="shared" si="74"/>
        <v>1.206574863001837E-2</v>
      </c>
      <c r="AQ171" s="374">
        <f t="shared" si="74"/>
        <v>1.2209128683666325E-2</v>
      </c>
      <c r="AR171" s="374">
        <f t="shared" si="74"/>
        <v>1.2344493604112289E-2</v>
      </c>
      <c r="AS171" s="374">
        <f t="shared" si="74"/>
        <v>1.2482076607753646E-2</v>
      </c>
      <c r="AT171" s="374">
        <f t="shared" si="74"/>
        <v>1.2622658281727085E-2</v>
      </c>
      <c r="AU171" s="374">
        <f t="shared" si="74"/>
        <v>1.276549802220869E-2</v>
      </c>
      <c r="AV171" s="374">
        <f t="shared" si="74"/>
        <v>1.2910619844992335E-2</v>
      </c>
      <c r="AW171" s="374">
        <f t="shared" si="74"/>
        <v>1.305819759669854E-2</v>
      </c>
      <c r="AX171" s="374">
        <f t="shared" si="74"/>
        <v>1.31971679859836E-2</v>
      </c>
      <c r="AY171" s="374">
        <f t="shared" si="74"/>
        <v>1.3338590763817697E-2</v>
      </c>
      <c r="AZ171" s="374">
        <f t="shared" si="74"/>
        <v>1.3482608418443889E-2</v>
      </c>
      <c r="BA171" s="374">
        <f t="shared" si="74"/>
        <v>1.3630271032520468E-2</v>
      </c>
      <c r="BB171" s="374">
        <f t="shared" si="74"/>
        <v>1.3791798454080979E-2</v>
      </c>
      <c r="BC171" s="374">
        <f t="shared" si="74"/>
        <v>1.3956652946325296E-2</v>
      </c>
      <c r="BD171" s="374">
        <f t="shared" si="74"/>
        <v>1.4125064220408032E-2</v>
      </c>
      <c r="BE171" s="374">
        <f t="shared" si="74"/>
        <v>1.4297095176894724E-2</v>
      </c>
      <c r="BF171" s="374">
        <f t="shared" si="74"/>
        <v>1.4484360344452924E-2</v>
      </c>
      <c r="BG171" s="374">
        <f t="shared" si="74"/>
        <v>1.4676739095879059E-2</v>
      </c>
      <c r="BH171" s="374">
        <f t="shared" si="74"/>
        <v>1.4873399727072077E-2</v>
      </c>
      <c r="BI171" s="374">
        <f t="shared" si="74"/>
        <v>1.5085557400115291E-2</v>
      </c>
    </row>
    <row r="172" spans="1:61">
      <c r="A172" s="854" t="s">
        <v>739</v>
      </c>
      <c r="B172" s="403" t="s">
        <v>208</v>
      </c>
      <c r="C172" s="409"/>
      <c r="D172" s="409"/>
      <c r="E172" s="409"/>
      <c r="F172" s="409"/>
      <c r="G172" s="409"/>
      <c r="H172" s="409"/>
      <c r="I172" s="409"/>
      <c r="J172" s="409"/>
      <c r="K172" s="409"/>
      <c r="L172" s="409"/>
      <c r="M172" s="409"/>
      <c r="N172" s="409"/>
      <c r="O172" s="409"/>
      <c r="P172" s="410"/>
      <c r="Q172" s="417">
        <f>AVERAGE(W31:W32)*$B$98*$Q$101*$Q$105/100</f>
        <v>2.5807552064654317E-3</v>
      </c>
      <c r="R172" s="414">
        <f>Q172*Indeksacja!R$61</f>
        <v>2.7397693425980181E-3</v>
      </c>
      <c r="S172" s="407">
        <f>R172*Indeksacja!S$61</f>
        <v>2.915068800704774E-3</v>
      </c>
      <c r="T172" s="407">
        <f>S172*Indeksacja!T$61</f>
        <v>3.089551251429372E-3</v>
      </c>
      <c r="U172" s="407">
        <f>T172*Indeksacja!U$61</f>
        <v>3.1430879206128339E-3</v>
      </c>
      <c r="V172" s="407">
        <f>U172*Indeksacja!V$61</f>
        <v>3.4866024596130478E-3</v>
      </c>
      <c r="W172" s="407">
        <f>V172*Indeksacja!W$61</f>
        <v>4.1680348127859125E-3</v>
      </c>
      <c r="X172" s="407">
        <f>W172*Indeksacja!X$61</f>
        <v>4.6506455080417503E-3</v>
      </c>
      <c r="Y172" s="407">
        <f>X172*Indeksacja!Y$61</f>
        <v>4.7781158656626356E-3</v>
      </c>
      <c r="Z172" s="407">
        <f>Y172*Indeksacja!Z$61</f>
        <v>4.9322470641048003E-3</v>
      </c>
      <c r="AA172" s="407">
        <f>Z172*Indeksacja!AA$61</f>
        <v>5.0799054527265967E-3</v>
      </c>
      <c r="AB172" s="407">
        <f>AA172*Indeksacja!AB$61</f>
        <v>5.2056459129152599E-3</v>
      </c>
      <c r="AC172" s="407">
        <f>AB172*Indeksacja!AC$61</f>
        <v>5.3349508560452414E-3</v>
      </c>
      <c r="AD172" s="407">
        <f>AC172*Indeksacja!AD$61</f>
        <v>5.4639861487423653E-3</v>
      </c>
      <c r="AE172" s="407">
        <f>AD172*Indeksacja!AE$61</f>
        <v>5.5924874470944207E-3</v>
      </c>
      <c r="AF172" s="407">
        <f>AE172*Indeksacja!AF$61</f>
        <v>5.7130792523461755E-3</v>
      </c>
      <c r="AG172" s="407">
        <f>AF172*Indeksacja!AG$61</f>
        <v>5.8289762264525039E-3</v>
      </c>
      <c r="AH172" s="407">
        <f>AG172*Indeksacja!AH$61</f>
        <v>5.9488769317534258E-3</v>
      </c>
      <c r="AI172" s="407">
        <f>AH172*Indeksacja!AI$61</f>
        <v>6.0722393662351335E-3</v>
      </c>
      <c r="AJ172" s="407">
        <f>AI172*Indeksacja!AJ$61</f>
        <v>6.1893793109888953E-3</v>
      </c>
      <c r="AK172" s="407">
        <f>AJ172*Indeksacja!AK$61</f>
        <v>6.3046751787203675E-3</v>
      </c>
      <c r="AL172" s="407">
        <f>AK172*Indeksacja!AL$61</f>
        <v>6.4175205274290955E-3</v>
      </c>
      <c r="AM172" s="407">
        <f>AL172*Indeksacja!AM$61</f>
        <v>6.52795847230421E-3</v>
      </c>
      <c r="AN172" s="407">
        <f>AM172*Indeksacja!AN$61</f>
        <v>6.6304113838308231E-3</v>
      </c>
      <c r="AO172" s="407">
        <f>AN172*Indeksacja!AO$61</f>
        <v>6.7243209364121004E-3</v>
      </c>
      <c r="AP172" s="407">
        <f>AO172*Indeksacja!AP$61</f>
        <v>6.8146258277645196E-3</v>
      </c>
      <c r="AQ172" s="407">
        <f>AP172*Indeksacja!AQ$61</f>
        <v>6.895605586811111E-3</v>
      </c>
      <c r="AR172" s="407">
        <f>AQ172*Indeksacja!AR$61</f>
        <v>6.9720584710316023E-3</v>
      </c>
      <c r="AS172" s="407">
        <f>AR172*Indeksacja!AS$61</f>
        <v>7.049764108603333E-3</v>
      </c>
      <c r="AT172" s="407">
        <f>AS172*Indeksacja!AT$61</f>
        <v>7.1291633680895059E-3</v>
      </c>
      <c r="AU172" s="407">
        <f>AT172*Indeksacja!AU$61</f>
        <v>7.2098379631407731E-3</v>
      </c>
      <c r="AV172" s="407">
        <f>AU172*Indeksacja!AV$61</f>
        <v>7.2918014576605645E-3</v>
      </c>
      <c r="AW172" s="407">
        <f>AV172*Indeksacja!AW$61</f>
        <v>7.3751520386496697E-3</v>
      </c>
      <c r="AX172" s="407">
        <f>AW172*Indeksacja!AX$61</f>
        <v>7.4536412590997247E-3</v>
      </c>
      <c r="AY172" s="407">
        <f>AX172*Indeksacja!AY$61</f>
        <v>7.5335155664481099E-3</v>
      </c>
      <c r="AZ172" s="407">
        <f>AY172*Indeksacja!AZ$61</f>
        <v>7.6148554367673057E-3</v>
      </c>
      <c r="BA172" s="407">
        <f>AZ172*Indeksacja!BA$61</f>
        <v>7.6982539472565748E-3</v>
      </c>
      <c r="BB172" s="407">
        <f>BA172*Indeksacja!BB$61</f>
        <v>7.7894831757621243E-3</v>
      </c>
      <c r="BC172" s="407">
        <f>BB172*Indeksacja!BC$61</f>
        <v>7.8825915037340974E-3</v>
      </c>
      <c r="BD172" s="407">
        <f>BC172*Indeksacja!BD$61</f>
        <v>7.9777086699574749E-3</v>
      </c>
      <c r="BE172" s="407">
        <f>BD172*Indeksacja!BE$61</f>
        <v>8.0748702001034456E-3</v>
      </c>
      <c r="BF172" s="407">
        <f>BE172*Indeksacja!BF$61</f>
        <v>8.1806358750411666E-3</v>
      </c>
      <c r="BG172" s="407">
        <f>BF172*Indeksacja!BG$61</f>
        <v>8.2892896559528632E-3</v>
      </c>
      <c r="BH172" s="407">
        <f>BG172*Indeksacja!BH$61</f>
        <v>8.4003618038756365E-3</v>
      </c>
      <c r="BI172" s="407">
        <f>BH172*Indeksacja!BI$61</f>
        <v>8.5201865410396253E-3</v>
      </c>
    </row>
    <row r="173" spans="1:61">
      <c r="A173" s="854"/>
      <c r="B173" s="404" t="s">
        <v>209</v>
      </c>
      <c r="C173" s="411"/>
      <c r="D173" s="411"/>
      <c r="E173" s="411"/>
      <c r="F173" s="411"/>
      <c r="G173" s="411"/>
      <c r="H173" s="411"/>
      <c r="I173" s="411"/>
      <c r="J173" s="411"/>
      <c r="K173" s="411"/>
      <c r="L173" s="411"/>
      <c r="M173" s="411"/>
      <c r="N173" s="411"/>
      <c r="O173" s="411"/>
      <c r="P173" s="412"/>
      <c r="Q173" s="418">
        <f>AVERAGE(W33:W34)*$B$98*$Q$101*$Q$105/100</f>
        <v>4.7015738414815768E-3</v>
      </c>
      <c r="R173" s="415">
        <f>Q173*Indeksacja!R$61</f>
        <v>4.9912629607726253E-3</v>
      </c>
      <c r="S173" s="408">
        <f>R173*Indeksacja!S$61</f>
        <v>5.3106203894027551E-3</v>
      </c>
      <c r="T173" s="408">
        <f>S173*Indeksacja!T$61</f>
        <v>5.628489408544597E-3</v>
      </c>
      <c r="U173" s="408">
        <f>T173*Indeksacja!U$61</f>
        <v>5.7260215583441717E-3</v>
      </c>
      <c r="V173" s="408">
        <f>U173*Indeksacja!V$61</f>
        <v>6.351830223453472E-3</v>
      </c>
      <c r="W173" s="408">
        <f>V173*Indeksacja!W$61</f>
        <v>7.5932515401248282E-3</v>
      </c>
      <c r="X173" s="408">
        <f>W173*Indeksacja!X$61</f>
        <v>8.4724631037592247E-3</v>
      </c>
      <c r="Y173" s="408">
        <f>X173*Indeksacja!Y$61</f>
        <v>8.7046863295240067E-3</v>
      </c>
      <c r="Z173" s="408">
        <f>Y173*Indeksacja!Z$61</f>
        <v>8.9854797999532957E-3</v>
      </c>
      <c r="AA173" s="408">
        <f>Z173*Indeksacja!AA$61</f>
        <v>9.2544812208088453E-3</v>
      </c>
      <c r="AB173" s="408">
        <f>AA173*Indeksacja!AB$61</f>
        <v>9.4835529502614591E-3</v>
      </c>
      <c r="AC173" s="408">
        <f>AB173*Indeksacja!AC$61</f>
        <v>9.7191183912111265E-3</v>
      </c>
      <c r="AD173" s="408">
        <f>AC173*Indeksacja!AD$61</f>
        <v>9.9541925878078672E-3</v>
      </c>
      <c r="AE173" s="408">
        <f>AD173*Indeksacja!AE$61</f>
        <v>1.0188293963023494E-2</v>
      </c>
      <c r="AF173" s="408">
        <f>AE173*Indeksacja!AF$61</f>
        <v>1.0407985964670255E-2</v>
      </c>
      <c r="AG173" s="408">
        <f>AF173*Indeksacja!AG$61</f>
        <v>1.0619125006606535E-2</v>
      </c>
      <c r="AH173" s="408">
        <f>AG173*Indeksacja!AH$61</f>
        <v>1.0837557974679501E-2</v>
      </c>
      <c r="AI173" s="408">
        <f>AH173*Indeksacja!AI$61</f>
        <v>1.106229745927984E-2</v>
      </c>
      <c r="AJ173" s="408">
        <f>AI173*Indeksacja!AJ$61</f>
        <v>1.1275700922989663E-2</v>
      </c>
      <c r="AK173" s="408">
        <f>AJ173*Indeksacja!AK$61</f>
        <v>1.1485744880045019E-2</v>
      </c>
      <c r="AL173" s="408">
        <f>AK173*Indeksacja!AL$61</f>
        <v>1.1691324525217355E-2</v>
      </c>
      <c r="AM173" s="408">
        <f>AL173*Indeksacja!AM$61</f>
        <v>1.1892518404989842E-2</v>
      </c>
      <c r="AN173" s="408">
        <f>AM173*Indeksacja!AN$61</f>
        <v>1.2079165293315552E-2</v>
      </c>
      <c r="AO173" s="408">
        <f>AN173*Indeksacja!AO$61</f>
        <v>1.2250248042572532E-2</v>
      </c>
      <c r="AP173" s="408">
        <f>AO173*Indeksacja!AP$61</f>
        <v>1.2414763884244265E-2</v>
      </c>
      <c r="AQ173" s="408">
        <f>AP173*Indeksacja!AQ$61</f>
        <v>1.2562291366071718E-2</v>
      </c>
      <c r="AR173" s="408">
        <f>AQ173*Indeksacja!AR$61</f>
        <v>1.270157186801796E-2</v>
      </c>
      <c r="AS173" s="408">
        <f>AR173*Indeksacja!AS$61</f>
        <v>1.2843134613693191E-2</v>
      </c>
      <c r="AT173" s="408">
        <f>AS173*Indeksacja!AT$61</f>
        <v>1.2987782769588794E-2</v>
      </c>
      <c r="AU173" s="408">
        <f>AT173*Indeksacja!AU$61</f>
        <v>1.3134754309088132E-2</v>
      </c>
      <c r="AV173" s="408">
        <f>AU173*Indeksacja!AV$61</f>
        <v>1.3284073942668742E-2</v>
      </c>
      <c r="AW173" s="408">
        <f>AV173*Indeksacja!AW$61</f>
        <v>1.3435920545658795E-2</v>
      </c>
      <c r="AX173" s="408">
        <f>AW173*Indeksacja!AX$61</f>
        <v>1.3578910808656914E-2</v>
      </c>
      <c r="AY173" s="408">
        <f>AX173*Indeksacja!AY$61</f>
        <v>1.3724424398281695E-2</v>
      </c>
      <c r="AZ173" s="408">
        <f>AY173*Indeksacja!AZ$61</f>
        <v>1.3872607924407754E-2</v>
      </c>
      <c r="BA173" s="408">
        <f>AZ173*Indeksacja!BA$61</f>
        <v>1.4024541844507016E-2</v>
      </c>
      <c r="BB173" s="408">
        <f>BA173*Indeksacja!BB$61</f>
        <v>1.4190741627130988E-2</v>
      </c>
      <c r="BC173" s="408">
        <f>BB173*Indeksacja!BC$61</f>
        <v>1.4360364719673988E-2</v>
      </c>
      <c r="BD173" s="408">
        <f>BC173*Indeksacja!BD$61</f>
        <v>1.4533647477942318E-2</v>
      </c>
      <c r="BE173" s="408">
        <f>BD173*Indeksacja!BE$61</f>
        <v>1.4710654621970621E-2</v>
      </c>
      <c r="BF173" s="408">
        <f>BE173*Indeksacja!BF$61</f>
        <v>1.4903336643639339E-2</v>
      </c>
      <c r="BG173" s="408">
        <f>BF173*Indeksacja!BG$61</f>
        <v>1.5101280165300253E-2</v>
      </c>
      <c r="BH173" s="408">
        <f>BG173*Indeksacja!BH$61</f>
        <v>1.5303629424882335E-2</v>
      </c>
      <c r="BI173" s="408">
        <f>BH173*Indeksacja!BI$61</f>
        <v>1.5521923995557324E-2</v>
      </c>
    </row>
    <row r="174" spans="1:61">
      <c r="A174" s="854"/>
      <c r="B174" s="402" t="s">
        <v>227</v>
      </c>
      <c r="C174" s="377"/>
      <c r="D174" s="377"/>
      <c r="E174" s="377"/>
      <c r="F174" s="377"/>
      <c r="G174" s="377"/>
      <c r="H174" s="377"/>
      <c r="I174" s="377"/>
      <c r="J174" s="377"/>
      <c r="K174" s="377"/>
      <c r="L174" s="377"/>
      <c r="M174" s="377"/>
      <c r="N174" s="377"/>
      <c r="O174" s="377"/>
      <c r="P174" s="413"/>
      <c r="Q174" s="374">
        <f>Q172*$B$90+Q173*$B$91</f>
        <v>2.8988780017178534E-3</v>
      </c>
      <c r="R174" s="374">
        <f>R172*$B$90+R173*$B$91</f>
        <v>3.0774933853242089E-3</v>
      </c>
      <c r="S174" s="374">
        <f t="shared" ref="S174:BI174" si="75">S172*$B$90+S173*$B$91</f>
        <v>3.2744015390094713E-3</v>
      </c>
      <c r="T174" s="374">
        <f t="shared" si="75"/>
        <v>3.4703919749966556E-3</v>
      </c>
      <c r="U174" s="374">
        <f t="shared" si="75"/>
        <v>3.5305279662725345E-3</v>
      </c>
      <c r="V174" s="374">
        <f t="shared" si="75"/>
        <v>3.916386624189111E-3</v>
      </c>
      <c r="W174" s="374">
        <f t="shared" si="75"/>
        <v>4.6818173218867495E-3</v>
      </c>
      <c r="X174" s="374">
        <f t="shared" si="75"/>
        <v>5.2239181473993715E-3</v>
      </c>
      <c r="Y174" s="374">
        <f t="shared" si="75"/>
        <v>5.3671014352418417E-3</v>
      </c>
      <c r="Z174" s="374">
        <f t="shared" si="75"/>
        <v>5.5402319744820745E-3</v>
      </c>
      <c r="AA174" s="374">
        <f t="shared" si="75"/>
        <v>5.7060918179389344E-3</v>
      </c>
      <c r="AB174" s="374">
        <f t="shared" si="75"/>
        <v>5.8473319685171899E-3</v>
      </c>
      <c r="AC174" s="374">
        <f t="shared" si="75"/>
        <v>5.9925759863201245E-3</v>
      </c>
      <c r="AD174" s="374">
        <f t="shared" si="75"/>
        <v>6.1375171146021909E-3</v>
      </c>
      <c r="AE174" s="374">
        <f t="shared" si="75"/>
        <v>6.281858424483781E-3</v>
      </c>
      <c r="AF174" s="374">
        <f t="shared" si="75"/>
        <v>6.4173152591947879E-3</v>
      </c>
      <c r="AG174" s="374">
        <f t="shared" si="75"/>
        <v>6.5474985434756088E-3</v>
      </c>
      <c r="AH174" s="374">
        <f t="shared" si="75"/>
        <v>6.682179088192337E-3</v>
      </c>
      <c r="AI174" s="374">
        <f t="shared" si="75"/>
        <v>6.820748080191839E-3</v>
      </c>
      <c r="AJ174" s="374">
        <f t="shared" si="75"/>
        <v>6.9523275527890111E-3</v>
      </c>
      <c r="AK174" s="374">
        <f t="shared" si="75"/>
        <v>7.0818356339190655E-3</v>
      </c>
      <c r="AL174" s="374">
        <f t="shared" si="75"/>
        <v>7.2085911270973347E-3</v>
      </c>
      <c r="AM174" s="374">
        <f t="shared" si="75"/>
        <v>7.3326424622070542E-3</v>
      </c>
      <c r="AN174" s="374">
        <f t="shared" si="75"/>
        <v>7.4477244702535325E-3</v>
      </c>
      <c r="AO174" s="374">
        <f t="shared" si="75"/>
        <v>7.5532100023361654E-3</v>
      </c>
      <c r="AP174" s="374">
        <f t="shared" si="75"/>
        <v>7.6546465362364816E-3</v>
      </c>
      <c r="AQ174" s="374">
        <f t="shared" si="75"/>
        <v>7.7456084537002017E-3</v>
      </c>
      <c r="AR174" s="374">
        <f t="shared" si="75"/>
        <v>7.8314854805795562E-3</v>
      </c>
      <c r="AS174" s="374">
        <f t="shared" si="75"/>
        <v>7.9187696843668123E-3</v>
      </c>
      <c r="AT174" s="374">
        <f t="shared" si="75"/>
        <v>8.0079562783143994E-3</v>
      </c>
      <c r="AU174" s="374">
        <f t="shared" si="75"/>
        <v>8.0985754150328763E-3</v>
      </c>
      <c r="AV174" s="374">
        <f t="shared" si="75"/>
        <v>8.1906423304117914E-3</v>
      </c>
      <c r="AW174" s="374">
        <f t="shared" si="75"/>
        <v>8.2842673147010375E-3</v>
      </c>
      <c r="AX174" s="374">
        <f t="shared" si="75"/>
        <v>8.3724316915333025E-3</v>
      </c>
      <c r="AY174" s="374">
        <f t="shared" si="75"/>
        <v>8.4621518912231485E-3</v>
      </c>
      <c r="AZ174" s="374">
        <f t="shared" si="75"/>
        <v>8.5535183099133723E-3</v>
      </c>
      <c r="BA174" s="374">
        <f t="shared" si="75"/>
        <v>8.6471971318441403E-3</v>
      </c>
      <c r="BB174" s="374">
        <f t="shared" si="75"/>
        <v>8.749671943467454E-3</v>
      </c>
      <c r="BC174" s="374">
        <f t="shared" si="75"/>
        <v>8.854257486125082E-3</v>
      </c>
      <c r="BD174" s="374">
        <f t="shared" si="75"/>
        <v>8.9610994911552017E-3</v>
      </c>
      <c r="BE174" s="374">
        <f t="shared" si="75"/>
        <v>9.0702378633835228E-3</v>
      </c>
      <c r="BF174" s="374">
        <f t="shared" si="75"/>
        <v>9.1890409903308927E-3</v>
      </c>
      <c r="BG174" s="374">
        <f t="shared" si="75"/>
        <v>9.3110882323549724E-3</v>
      </c>
      <c r="BH174" s="374">
        <f t="shared" si="75"/>
        <v>9.4358519470266414E-3</v>
      </c>
      <c r="BI174" s="374">
        <f t="shared" si="75"/>
        <v>9.570447159217281E-3</v>
      </c>
    </row>
    <row r="175" spans="1:61">
      <c r="A175" s="854" t="s">
        <v>174</v>
      </c>
      <c r="B175" s="403" t="s">
        <v>208</v>
      </c>
      <c r="C175" s="409"/>
      <c r="D175" s="409"/>
      <c r="E175" s="409"/>
      <c r="F175" s="409"/>
      <c r="G175" s="409"/>
      <c r="H175" s="409"/>
      <c r="I175" s="409"/>
      <c r="J175" s="409"/>
      <c r="K175" s="409"/>
      <c r="L175" s="409"/>
      <c r="M175" s="409"/>
      <c r="N175" s="409"/>
      <c r="O175" s="409"/>
      <c r="P175" s="410"/>
      <c r="Q175" s="417">
        <f>AVERAGE(W35:W36)*$B$98*$Q$101*$Q$105/100</f>
        <v>7.4664560197975694E-4</v>
      </c>
      <c r="R175" s="414">
        <f>Q175*Indeksacja!R$61</f>
        <v>7.9265043230948551E-4</v>
      </c>
      <c r="S175" s="407">
        <f>R175*Indeksacja!S$61</f>
        <v>8.4336681528797983E-4</v>
      </c>
      <c r="T175" s="407">
        <f>S175*Indeksacja!T$61</f>
        <v>8.9384682754555292E-4</v>
      </c>
      <c r="U175" s="407">
        <f>T175*Indeksacja!U$61</f>
        <v>9.0933567301618688E-4</v>
      </c>
      <c r="V175" s="407">
        <f>U175*Indeksacja!V$61</f>
        <v>1.0087188377262911E-3</v>
      </c>
      <c r="W175" s="407">
        <f>V175*Indeksacja!W$61</f>
        <v>1.205865962826957E-3</v>
      </c>
      <c r="X175" s="407">
        <f>W175*Indeksacja!X$61</f>
        <v>1.345491430666148E-3</v>
      </c>
      <c r="Y175" s="407">
        <f>X175*Indeksacja!Y$61</f>
        <v>1.382370241047692E-3</v>
      </c>
      <c r="Z175" s="407">
        <f>Y175*Indeksacja!Z$61</f>
        <v>1.4269623748372137E-3</v>
      </c>
      <c r="AA175" s="407">
        <f>Z175*Indeksacja!AA$61</f>
        <v>1.4696818416753247E-3</v>
      </c>
      <c r="AB175" s="407">
        <f>AA175*Indeksacja!AB$61</f>
        <v>1.5060601705286674E-3</v>
      </c>
      <c r="AC175" s="407">
        <f>AB175*Indeksacja!AC$61</f>
        <v>1.5434697500425918E-3</v>
      </c>
      <c r="AD175" s="407">
        <f>AC175*Indeksacja!AD$61</f>
        <v>1.5808013162256665E-3</v>
      </c>
      <c r="AE175" s="407">
        <f>AD175*Indeksacja!AE$61</f>
        <v>1.6179783909915663E-3</v>
      </c>
      <c r="AF175" s="407">
        <f>AE175*Indeksacja!AF$61</f>
        <v>1.6528671478951468E-3</v>
      </c>
      <c r="AG175" s="407">
        <f>AF175*Indeksacja!AG$61</f>
        <v>1.6863976298960985E-3</v>
      </c>
      <c r="AH175" s="407">
        <f>AG175*Indeksacja!AH$61</f>
        <v>1.7210864427145037E-3</v>
      </c>
      <c r="AI175" s="407">
        <f>AH175*Indeksacja!AI$61</f>
        <v>1.7567767782118533E-3</v>
      </c>
      <c r="AJ175" s="407">
        <f>AI175*Indeksacja!AJ$61</f>
        <v>1.7906668675730735E-3</v>
      </c>
      <c r="AK175" s="407">
        <f>AJ175*Indeksacja!AK$61</f>
        <v>1.8240234417853346E-3</v>
      </c>
      <c r="AL175" s="407">
        <f>AK175*Indeksacja!AL$61</f>
        <v>1.8566710493949843E-3</v>
      </c>
      <c r="AM175" s="407">
        <f>AL175*Indeksacja!AM$61</f>
        <v>1.8886221641795673E-3</v>
      </c>
      <c r="AN175" s="407">
        <f>AM175*Indeksacja!AN$61</f>
        <v>1.918263106338562E-3</v>
      </c>
      <c r="AO175" s="407">
        <f>AN175*Indeksacja!AO$61</f>
        <v>1.9454323451113973E-3</v>
      </c>
      <c r="AP175" s="407">
        <f>AO175*Indeksacja!AP$61</f>
        <v>1.9715587091294279E-3</v>
      </c>
      <c r="AQ175" s="407">
        <f>AP175*Indeksacja!AQ$61</f>
        <v>1.9949871926950302E-3</v>
      </c>
      <c r="AR175" s="407">
        <f>AQ175*Indeksacja!AR$61</f>
        <v>2.0171059932766935E-3</v>
      </c>
      <c r="AS175" s="407">
        <f>AR175*Indeksacja!AS$61</f>
        <v>2.0395872314803846E-3</v>
      </c>
      <c r="AT175" s="407">
        <f>AS175*Indeksacja!AT$61</f>
        <v>2.0625584562394324E-3</v>
      </c>
      <c r="AU175" s="407">
        <f>AT175*Indeksacja!AU$61</f>
        <v>2.0858986519447912E-3</v>
      </c>
      <c r="AV175" s="407">
        <f>AU175*Indeksacja!AV$61</f>
        <v>2.1096117428077987E-3</v>
      </c>
      <c r="AW175" s="407">
        <f>AV175*Indeksacja!AW$61</f>
        <v>2.1337261355878897E-3</v>
      </c>
      <c r="AX175" s="407">
        <f>AW175*Indeksacja!AX$61</f>
        <v>2.1564340743745816E-3</v>
      </c>
      <c r="AY175" s="407">
        <f>AX175*Indeksacja!AY$61</f>
        <v>2.17954273657681E-3</v>
      </c>
      <c r="AZ175" s="407">
        <f>AY175*Indeksacja!AZ$61</f>
        <v>2.2030754049551524E-3</v>
      </c>
      <c r="BA175" s="407">
        <f>AZ175*Indeksacja!BA$61</f>
        <v>2.2272036643547562E-3</v>
      </c>
      <c r="BB175" s="407">
        <f>BA175*Indeksacja!BB$61</f>
        <v>2.2535974509738932E-3</v>
      </c>
      <c r="BC175" s="407">
        <f>BB175*Indeksacja!BC$61</f>
        <v>2.2805348851845462E-3</v>
      </c>
      <c r="BD175" s="407">
        <f>BC175*Indeksacja!BD$61</f>
        <v>2.3080535020822443E-3</v>
      </c>
      <c r="BE175" s="407">
        <f>BD175*Indeksacja!BE$61</f>
        <v>2.33616357969959E-3</v>
      </c>
      <c r="BF175" s="407">
        <f>BE175*Indeksacja!BF$61</f>
        <v>2.3667629468285731E-3</v>
      </c>
      <c r="BG175" s="407">
        <f>BF175*Indeksacja!BG$61</f>
        <v>2.3981978800810375E-3</v>
      </c>
      <c r="BH175" s="407">
        <f>BG175*Indeksacja!BH$61</f>
        <v>2.4303324779465069E-3</v>
      </c>
      <c r="BI175" s="407">
        <f>BH175*Indeksacja!BI$61</f>
        <v>2.4649993122079416E-3</v>
      </c>
    </row>
    <row r="176" spans="1:61">
      <c r="A176" s="854"/>
      <c r="B176" s="404" t="s">
        <v>209</v>
      </c>
      <c r="C176" s="411"/>
      <c r="D176" s="411"/>
      <c r="E176" s="411"/>
      <c r="F176" s="411"/>
      <c r="G176" s="411"/>
      <c r="H176" s="411"/>
      <c r="I176" s="411"/>
      <c r="J176" s="411"/>
      <c r="K176" s="411"/>
      <c r="L176" s="411"/>
      <c r="M176" s="411"/>
      <c r="N176" s="411"/>
      <c r="O176" s="411"/>
      <c r="P176" s="412"/>
      <c r="Q176" s="418">
        <f>AVERAGE(W37:W38)*$B$98*$Q$101*$Q$105/100</f>
        <v>1.3602256511314388E-3</v>
      </c>
      <c r="R176" s="415">
        <f>Q176*Indeksacja!R$61</f>
        <v>1.444036431138073E-3</v>
      </c>
      <c r="S176" s="408">
        <f>R176*Indeksacja!S$61</f>
        <v>1.5364306337919637E-3</v>
      </c>
      <c r="T176" s="408">
        <f>S176*Indeksacja!T$61</f>
        <v>1.6283942204790276E-3</v>
      </c>
      <c r="U176" s="408">
        <f>T176*Indeksacja!U$61</f>
        <v>1.6566115231185985E-3</v>
      </c>
      <c r="V176" s="408">
        <f>U176*Indeksacja!V$61</f>
        <v>1.837666001402353E-3</v>
      </c>
      <c r="W176" s="408">
        <f>V176*Indeksacja!W$61</f>
        <v>2.1968251203976258E-3</v>
      </c>
      <c r="X176" s="408">
        <f>W176*Indeksacja!X$61</f>
        <v>2.4511923093323896E-3</v>
      </c>
      <c r="Y176" s="408">
        <f>X176*Indeksacja!Y$61</f>
        <v>2.5183774688393606E-3</v>
      </c>
      <c r="Z176" s="408">
        <f>Y176*Indeksacja!Z$61</f>
        <v>2.599614623465816E-3</v>
      </c>
      <c r="AA176" s="408">
        <f>Z176*Indeksacja!AA$61</f>
        <v>2.6774401868144538E-3</v>
      </c>
      <c r="AB176" s="408">
        <f>AA176*Indeksacja!AB$61</f>
        <v>2.7437135779928208E-3</v>
      </c>
      <c r="AC176" s="408">
        <f>AB176*Indeksacja!AC$61</f>
        <v>2.8118656832459106E-3</v>
      </c>
      <c r="AD176" s="408">
        <f>AC176*Indeksacja!AD$61</f>
        <v>2.8798756652031947E-3</v>
      </c>
      <c r="AE176" s="408">
        <f>AD176*Indeksacja!AE$61</f>
        <v>2.9476041974499825E-3</v>
      </c>
      <c r="AF176" s="408">
        <f>AE176*Indeksacja!AF$61</f>
        <v>3.0111639129970997E-3</v>
      </c>
      <c r="AG176" s="408">
        <f>AF176*Indeksacja!AG$61</f>
        <v>3.0722491475334871E-3</v>
      </c>
      <c r="AH176" s="408">
        <f>AG176*Indeksacja!AH$61</f>
        <v>3.1354446085095915E-3</v>
      </c>
      <c r="AI176" s="408">
        <f>AH176*Indeksacja!AI$61</f>
        <v>3.200464625653278E-3</v>
      </c>
      <c r="AJ176" s="408">
        <f>AI176*Indeksacja!AJ$61</f>
        <v>3.2622049864697586E-3</v>
      </c>
      <c r="AK176" s="408">
        <f>AJ176*Indeksacja!AK$61</f>
        <v>3.3229733988960563E-3</v>
      </c>
      <c r="AL176" s="408">
        <f>AK176*Indeksacja!AL$61</f>
        <v>3.3824502286007646E-3</v>
      </c>
      <c r="AM176" s="408">
        <f>AL176*Indeksacja!AM$61</f>
        <v>3.4406582000895097E-3</v>
      </c>
      <c r="AN176" s="408">
        <f>AM176*Indeksacja!AN$61</f>
        <v>3.4946575402603516E-3</v>
      </c>
      <c r="AO176" s="408">
        <f>AN176*Indeksacja!AO$61</f>
        <v>3.5441539752524478E-3</v>
      </c>
      <c r="AP176" s="408">
        <f>AO176*Indeksacja!AP$61</f>
        <v>3.5917505196021273E-3</v>
      </c>
      <c r="AQ176" s="408">
        <f>AP176*Indeksacja!AQ$61</f>
        <v>3.6344321134246104E-3</v>
      </c>
      <c r="AR176" s="408">
        <f>AQ176*Indeksacja!AR$61</f>
        <v>3.6747277501278383E-3</v>
      </c>
      <c r="AS176" s="408">
        <f>AR176*Indeksacja!AS$61</f>
        <v>3.7156836692315925E-3</v>
      </c>
      <c r="AT176" s="408">
        <f>AS176*Indeksacja!AT$61</f>
        <v>3.7575322371094619E-3</v>
      </c>
      <c r="AU176" s="408">
        <f>AT176*Indeksacja!AU$61</f>
        <v>3.8000529896816005E-3</v>
      </c>
      <c r="AV176" s="408">
        <f>AU176*Indeksacja!AV$61</f>
        <v>3.8432530760062872E-3</v>
      </c>
      <c r="AW176" s="408">
        <f>AV176*Indeksacja!AW$61</f>
        <v>3.8871842470116018E-3</v>
      </c>
      <c r="AX176" s="408">
        <f>AW176*Indeksacja!AX$61</f>
        <v>3.9285531651972582E-3</v>
      </c>
      <c r="AY176" s="408">
        <f>AX176*Indeksacja!AY$61</f>
        <v>3.9706521141597336E-3</v>
      </c>
      <c r="AZ176" s="408">
        <f>AY176*Indeksacja!AZ$61</f>
        <v>4.0135235100173076E-3</v>
      </c>
      <c r="BA176" s="408">
        <f>AZ176*Indeksacja!BA$61</f>
        <v>4.0574799429829219E-3</v>
      </c>
      <c r="BB176" s="408">
        <f>BA176*Indeksacja!BB$61</f>
        <v>4.1055636730613493E-3</v>
      </c>
      <c r="BC176" s="408">
        <f>BB176*Indeksacja!BC$61</f>
        <v>4.1546378106332316E-3</v>
      </c>
      <c r="BD176" s="408">
        <f>BC176*Indeksacja!BD$61</f>
        <v>4.204770736466662E-3</v>
      </c>
      <c r="BE176" s="408">
        <f>BD176*Indeksacja!BE$61</f>
        <v>4.2559811748982624E-3</v>
      </c>
      <c r="BF176" s="408">
        <f>BE176*Indeksacja!BF$61</f>
        <v>4.3117265565985876E-3</v>
      </c>
      <c r="BG176" s="408">
        <f>BF176*Indeksacja!BG$61</f>
        <v>4.3689941577713942E-3</v>
      </c>
      <c r="BH176" s="408">
        <f>BG176*Indeksacja!BH$61</f>
        <v>4.4275363954669033E-3</v>
      </c>
      <c r="BI176" s="408">
        <f>BH176*Indeksacja!BI$61</f>
        <v>4.4906918162996162E-3</v>
      </c>
    </row>
    <row r="177" spans="1:61">
      <c r="A177" s="854"/>
      <c r="B177" s="402" t="s">
        <v>227</v>
      </c>
      <c r="C177" s="377"/>
      <c r="D177" s="377"/>
      <c r="E177" s="377"/>
      <c r="F177" s="377"/>
      <c r="G177" s="377"/>
      <c r="H177" s="377"/>
      <c r="I177" s="377"/>
      <c r="J177" s="377"/>
      <c r="K177" s="377"/>
      <c r="L177" s="377"/>
      <c r="M177" s="377"/>
      <c r="N177" s="377"/>
      <c r="O177" s="377"/>
      <c r="P177" s="413"/>
      <c r="Q177" s="374">
        <f>Q175*$B$90+Q176*$B$91</f>
        <v>8.386826093525092E-4</v>
      </c>
      <c r="R177" s="374">
        <f>R175*$B$90+R176*$B$91</f>
        <v>8.9035833213377367E-4</v>
      </c>
      <c r="S177" s="374">
        <f t="shared" ref="S177:BI177" si="76">S175*$B$90+S176*$B$91</f>
        <v>9.4732638806357744E-4</v>
      </c>
      <c r="T177" s="374">
        <f t="shared" si="76"/>
        <v>1.0040289364855741E-3</v>
      </c>
      <c r="U177" s="374">
        <f t="shared" si="76"/>
        <v>1.0214270505315487E-3</v>
      </c>
      <c r="V177" s="374">
        <f t="shared" si="76"/>
        <v>1.1330609122777004E-3</v>
      </c>
      <c r="W177" s="374">
        <f t="shared" si="76"/>
        <v>1.3545098364625573E-3</v>
      </c>
      <c r="X177" s="374">
        <f t="shared" si="76"/>
        <v>1.5113465624660843E-3</v>
      </c>
      <c r="Y177" s="374">
        <f t="shared" si="76"/>
        <v>1.5527713252164422E-3</v>
      </c>
      <c r="Z177" s="374">
        <f t="shared" si="76"/>
        <v>1.602860212131504E-3</v>
      </c>
      <c r="AA177" s="374">
        <f t="shared" si="76"/>
        <v>1.6508455934461941E-3</v>
      </c>
      <c r="AB177" s="374">
        <f t="shared" si="76"/>
        <v>1.6917081816482903E-3</v>
      </c>
      <c r="AC177" s="374">
        <f t="shared" si="76"/>
        <v>1.7337291400230895E-3</v>
      </c>
      <c r="AD177" s="374">
        <f t="shared" si="76"/>
        <v>1.7756624685722957E-3</v>
      </c>
      <c r="AE177" s="374">
        <f t="shared" si="76"/>
        <v>1.8174222619603288E-3</v>
      </c>
      <c r="AF177" s="374">
        <f t="shared" si="76"/>
        <v>1.8566116626604397E-3</v>
      </c>
      <c r="AG177" s="374">
        <f t="shared" si="76"/>
        <v>1.8942753575417069E-3</v>
      </c>
      <c r="AH177" s="374">
        <f t="shared" si="76"/>
        <v>1.9332401675837669E-3</v>
      </c>
      <c r="AI177" s="374">
        <f t="shared" si="76"/>
        <v>1.9733299553280669E-3</v>
      </c>
      <c r="AJ177" s="374">
        <f t="shared" si="76"/>
        <v>2.0113975854075764E-3</v>
      </c>
      <c r="AK177" s="374">
        <f t="shared" si="76"/>
        <v>2.048865935351943E-3</v>
      </c>
      <c r="AL177" s="374">
        <f t="shared" si="76"/>
        <v>2.0855379262758513E-3</v>
      </c>
      <c r="AM177" s="374">
        <f t="shared" si="76"/>
        <v>2.1214275695660588E-3</v>
      </c>
      <c r="AN177" s="374">
        <f t="shared" si="76"/>
        <v>2.1547222714268302E-3</v>
      </c>
      <c r="AO177" s="374">
        <f t="shared" si="76"/>
        <v>2.1852405896325548E-3</v>
      </c>
      <c r="AP177" s="374">
        <f t="shared" si="76"/>
        <v>2.2145874807003329E-3</v>
      </c>
      <c r="AQ177" s="374">
        <f t="shared" si="76"/>
        <v>2.2409039308044672E-3</v>
      </c>
      <c r="AR177" s="374">
        <f t="shared" si="76"/>
        <v>2.2657492568043652E-3</v>
      </c>
      <c r="AS177" s="374">
        <f t="shared" si="76"/>
        <v>2.2910016971430659E-3</v>
      </c>
      <c r="AT177" s="374">
        <f t="shared" si="76"/>
        <v>2.3168045233699372E-3</v>
      </c>
      <c r="AU177" s="374">
        <f t="shared" si="76"/>
        <v>2.3430218026053128E-3</v>
      </c>
      <c r="AV177" s="374">
        <f t="shared" si="76"/>
        <v>2.3696579427875722E-3</v>
      </c>
      <c r="AW177" s="374">
        <f t="shared" si="76"/>
        <v>2.3967448523014466E-3</v>
      </c>
      <c r="AX177" s="374">
        <f t="shared" si="76"/>
        <v>2.4222519379979834E-3</v>
      </c>
      <c r="AY177" s="374">
        <f t="shared" si="76"/>
        <v>2.4482091432142484E-3</v>
      </c>
      <c r="AZ177" s="374">
        <f t="shared" si="76"/>
        <v>2.4746426207144755E-3</v>
      </c>
      <c r="BA177" s="374">
        <f t="shared" si="76"/>
        <v>2.5017451061489812E-3</v>
      </c>
      <c r="BB177" s="374">
        <f t="shared" si="76"/>
        <v>2.5313923842870114E-3</v>
      </c>
      <c r="BC177" s="374">
        <f t="shared" si="76"/>
        <v>2.5616503240018492E-3</v>
      </c>
      <c r="BD177" s="374">
        <f t="shared" si="76"/>
        <v>2.5925610872399073E-3</v>
      </c>
      <c r="BE177" s="374">
        <f t="shared" si="76"/>
        <v>2.624136218979391E-3</v>
      </c>
      <c r="BF177" s="374">
        <f t="shared" si="76"/>
        <v>2.6585074882940754E-3</v>
      </c>
      <c r="BG177" s="374">
        <f t="shared" si="76"/>
        <v>2.6938173217345911E-3</v>
      </c>
      <c r="BH177" s="374">
        <f t="shared" si="76"/>
        <v>2.7299130655745667E-3</v>
      </c>
      <c r="BI177" s="374">
        <f t="shared" si="76"/>
        <v>2.768853187821693E-3</v>
      </c>
    </row>
    <row r="178" spans="1:61">
      <c r="A178" s="854" t="s">
        <v>695</v>
      </c>
      <c r="B178" s="403" t="s">
        <v>208</v>
      </c>
      <c r="C178" s="409"/>
      <c r="D178" s="409"/>
      <c r="E178" s="409"/>
      <c r="F178" s="409"/>
      <c r="G178" s="409"/>
      <c r="H178" s="409"/>
      <c r="I178" s="409"/>
      <c r="J178" s="409"/>
      <c r="K178" s="409"/>
      <c r="L178" s="409"/>
      <c r="M178" s="409"/>
      <c r="N178" s="409"/>
      <c r="O178" s="409"/>
      <c r="P178" s="410"/>
      <c r="Q178" s="417">
        <f>AVERAGE(W39:W40)*$B$98*$Q$101*$Q$105/100</f>
        <v>2.3849037354934919E-3</v>
      </c>
      <c r="R178" s="414">
        <f>Q178*Indeksacja!R$61</f>
        <v>2.5318504146317543E-3</v>
      </c>
      <c r="S178" s="407">
        <f>R178*Indeksacja!S$61</f>
        <v>2.6938465355429556E-3</v>
      </c>
      <c r="T178" s="407">
        <f>S178*Indeksacja!T$61</f>
        <v>2.855087651115893E-3</v>
      </c>
      <c r="U178" s="407">
        <f>T178*Indeksacja!U$61</f>
        <v>2.9045614648281152E-3</v>
      </c>
      <c r="V178" s="407">
        <f>U178*Indeksacja!V$61</f>
        <v>3.222006957219456E-3</v>
      </c>
      <c r="W178" s="407">
        <f>V178*Indeksacja!W$61</f>
        <v>3.8517259481941441E-3</v>
      </c>
      <c r="X178" s="407">
        <f>W178*Indeksacja!X$61</f>
        <v>4.2977116995824459E-3</v>
      </c>
      <c r="Y178" s="407">
        <f>X178*Indeksacja!Y$61</f>
        <v>4.4155084326058395E-3</v>
      </c>
      <c r="Z178" s="407">
        <f>Y178*Indeksacja!Z$61</f>
        <v>4.5579427363320931E-3</v>
      </c>
      <c r="AA178" s="407">
        <f>Z178*Indeksacja!AA$61</f>
        <v>4.6943954466545784E-3</v>
      </c>
      <c r="AB178" s="407">
        <f>AA178*Indeksacja!AB$61</f>
        <v>4.8105935627933511E-3</v>
      </c>
      <c r="AC178" s="407">
        <f>AB178*Indeksacja!AC$61</f>
        <v>4.9300856560829031E-3</v>
      </c>
      <c r="AD178" s="407">
        <f>AC178*Indeksacja!AD$61</f>
        <v>5.0493285624976262E-3</v>
      </c>
      <c r="AE178" s="407">
        <f>AD178*Indeksacja!AE$61</f>
        <v>5.1680779989756826E-3</v>
      </c>
      <c r="AF178" s="407">
        <f>AE178*Indeksacja!AF$61</f>
        <v>5.2795181875275859E-3</v>
      </c>
      <c r="AG178" s="407">
        <f>AF178*Indeksacja!AG$61</f>
        <v>5.3866198319555874E-3</v>
      </c>
      <c r="AH178" s="407">
        <f>AG178*Indeksacja!AH$61</f>
        <v>5.4974213675851938E-3</v>
      </c>
      <c r="AI178" s="407">
        <f>AH178*Indeksacja!AI$61</f>
        <v>5.6114219245066458E-3</v>
      </c>
      <c r="AJ178" s="407">
        <f>AI178*Indeksacja!AJ$61</f>
        <v>5.719672211522967E-3</v>
      </c>
      <c r="AK178" s="407">
        <f>AJ178*Indeksacja!AK$61</f>
        <v>5.8262183670633625E-3</v>
      </c>
      <c r="AL178" s="407">
        <f>AK178*Indeksacja!AL$61</f>
        <v>5.9304999715310341E-3</v>
      </c>
      <c r="AM178" s="407">
        <f>AL178*Indeksacja!AM$61</f>
        <v>6.0325568681375164E-3</v>
      </c>
      <c r="AN178" s="407">
        <f>AM178*Indeksacja!AN$61</f>
        <v>6.1272347092593202E-3</v>
      </c>
      <c r="AO178" s="407">
        <f>AN178*Indeksacja!AO$61</f>
        <v>6.2140175401874612E-3</v>
      </c>
      <c r="AP178" s="407">
        <f>AO178*Indeksacja!AP$61</f>
        <v>6.2974692647757395E-3</v>
      </c>
      <c r="AQ178" s="407">
        <f>AP178*Indeksacja!AQ$61</f>
        <v>6.3723035339717264E-3</v>
      </c>
      <c r="AR178" s="407">
        <f>AQ178*Indeksacja!AR$61</f>
        <v>6.4429544692909358E-3</v>
      </c>
      <c r="AS178" s="407">
        <f>AR178*Indeksacja!AS$61</f>
        <v>6.5147630875006177E-3</v>
      </c>
      <c r="AT178" s="407">
        <f>AS178*Indeksacja!AT$61</f>
        <v>6.5881367999974863E-3</v>
      </c>
      <c r="AU178" s="407">
        <f>AT178*Indeksacja!AU$61</f>
        <v>6.6626890638523378E-3</v>
      </c>
      <c r="AV178" s="407">
        <f>AU178*Indeksacja!AV$61</f>
        <v>6.7384324136147014E-3</v>
      </c>
      <c r="AW178" s="407">
        <f>AV178*Indeksacja!AW$61</f>
        <v>6.8154575849515521E-3</v>
      </c>
      <c r="AX178" s="407">
        <f>AW178*Indeksacja!AX$61</f>
        <v>6.8879903205548172E-3</v>
      </c>
      <c r="AY178" s="407">
        <f>AX178*Indeksacja!AY$61</f>
        <v>6.9618030299074471E-3</v>
      </c>
      <c r="AZ178" s="407">
        <f>AY178*Indeksacja!AZ$61</f>
        <v>7.036970081816446E-3</v>
      </c>
      <c r="BA178" s="407">
        <f>AZ178*Indeksacja!BA$61</f>
        <v>7.1140395453216107E-3</v>
      </c>
      <c r="BB178" s="407">
        <f>BA178*Indeksacja!BB$61</f>
        <v>7.1983454598477156E-3</v>
      </c>
      <c r="BC178" s="407">
        <f>BB178*Indeksacja!BC$61</f>
        <v>7.2843878704683005E-3</v>
      </c>
      <c r="BD178" s="407">
        <f>BC178*Indeksacja!BD$61</f>
        <v>7.3722866701945913E-3</v>
      </c>
      <c r="BE178" s="407">
        <f>BD178*Indeksacja!BE$61</f>
        <v>7.462074688682695E-3</v>
      </c>
      <c r="BF178" s="407">
        <f>BE178*Indeksacja!BF$61</f>
        <v>7.5598138902210794E-3</v>
      </c>
      <c r="BG178" s="407">
        <f>BF178*Indeksacja!BG$61</f>
        <v>7.6602220216558693E-3</v>
      </c>
      <c r="BH178" s="407">
        <f>BG178*Indeksacja!BH$61</f>
        <v>7.762864992142445E-3</v>
      </c>
      <c r="BI178" s="407">
        <f>BH178*Indeksacja!BI$61</f>
        <v>7.8735963247969307E-3</v>
      </c>
    </row>
    <row r="179" spans="1:61">
      <c r="A179" s="854"/>
      <c r="B179" s="404" t="s">
        <v>209</v>
      </c>
      <c r="C179" s="411"/>
      <c r="D179" s="411"/>
      <c r="E179" s="411"/>
      <c r="F179" s="411"/>
      <c r="G179" s="411"/>
      <c r="H179" s="411"/>
      <c r="I179" s="411"/>
      <c r="J179" s="411"/>
      <c r="K179" s="411"/>
      <c r="L179" s="411"/>
      <c r="M179" s="411"/>
      <c r="N179" s="411"/>
      <c r="O179" s="411"/>
      <c r="P179" s="412"/>
      <c r="Q179" s="418">
        <f>AVERAGE(W41:W42)*$B$98*$Q$101*$Q$105/100</f>
        <v>4.2462920168542658E-3</v>
      </c>
      <c r="R179" s="415">
        <f>Q179*Indeksacja!R$61</f>
        <v>4.5079287870272693E-3</v>
      </c>
      <c r="S179" s="408">
        <f>R179*Indeksacja!S$61</f>
        <v>4.7963609047472133E-3</v>
      </c>
      <c r="T179" s="408">
        <f>S179*Indeksacja!T$61</f>
        <v>5.0834487446697607E-3</v>
      </c>
      <c r="U179" s="408">
        <f>T179*Indeksacja!U$61</f>
        <v>5.1715362666451808E-3</v>
      </c>
      <c r="V179" s="408">
        <f>U179*Indeksacja!V$61</f>
        <v>5.73674409456147E-3</v>
      </c>
      <c r="W179" s="408">
        <f>V179*Indeksacja!W$61</f>
        <v>6.8579510784920125E-3</v>
      </c>
      <c r="X179" s="408">
        <f>W179*Indeksacja!X$61</f>
        <v>7.6520232699882574E-3</v>
      </c>
      <c r="Y179" s="408">
        <f>X179*Indeksacja!Y$61</f>
        <v>7.8617589165908847E-3</v>
      </c>
      <c r="Z179" s="408">
        <f>Y179*Indeksacja!Z$61</f>
        <v>8.1153614573717739E-3</v>
      </c>
      <c r="AA179" s="408">
        <f>Z179*Indeksacja!AA$61</f>
        <v>8.3583138440435148E-3</v>
      </c>
      <c r="AB179" s="408">
        <f>AA179*Indeksacja!AB$61</f>
        <v>8.5652031727784031E-3</v>
      </c>
      <c r="AC179" s="408">
        <f>AB179*Indeksacja!AC$61</f>
        <v>8.7779573876598013E-3</v>
      </c>
      <c r="AD179" s="408">
        <f>AC179*Indeksacja!AD$61</f>
        <v>8.99026792834943E-3</v>
      </c>
      <c r="AE179" s="408">
        <f>AD179*Indeksacja!AE$61</f>
        <v>9.201699851834751E-3</v>
      </c>
      <c r="AF179" s="408">
        <f>AE179*Indeksacja!AF$61</f>
        <v>9.4001177485247243E-3</v>
      </c>
      <c r="AG179" s="408">
        <f>AF179*Indeksacja!AG$61</f>
        <v>9.5908109203111658E-3</v>
      </c>
      <c r="AH179" s="408">
        <f>AG179*Indeksacja!AH$61</f>
        <v>9.7880917032614409E-3</v>
      </c>
      <c r="AI179" s="408">
        <f>AH179*Indeksacja!AI$61</f>
        <v>9.991068304609392E-3</v>
      </c>
      <c r="AJ179" s="408">
        <f>AI179*Indeksacja!AJ$61</f>
        <v>1.0183806620516499E-2</v>
      </c>
      <c r="AK179" s="408">
        <f>AJ179*Indeksacja!AK$61</f>
        <v>1.0373510751112813E-2</v>
      </c>
      <c r="AL179" s="408">
        <f>AK179*Indeksacja!AL$61</f>
        <v>1.0559182876140619E-2</v>
      </c>
      <c r="AM179" s="408">
        <f>AL179*Indeksacja!AM$61</f>
        <v>1.0740893935952161E-2</v>
      </c>
      <c r="AN179" s="408">
        <f>AM179*Indeksacja!AN$61</f>
        <v>1.0909466677461715E-2</v>
      </c>
      <c r="AO179" s="408">
        <f>AN179*Indeksacja!AO$61</f>
        <v>1.1063982449602064E-2</v>
      </c>
      <c r="AP179" s="408">
        <f>AO179*Indeksacja!AP$61</f>
        <v>1.1212567227527535E-2</v>
      </c>
      <c r="AQ179" s="408">
        <f>AP179*Indeksacja!AQ$61</f>
        <v>1.134580873121795E-2</v>
      </c>
      <c r="AR179" s="408">
        <f>AQ179*Indeksacja!AR$61</f>
        <v>1.1471601859957029E-2</v>
      </c>
      <c r="AS179" s="408">
        <f>AR179*Indeksacja!AS$61</f>
        <v>1.159945622896451E-2</v>
      </c>
      <c r="AT179" s="408">
        <f>AS179*Indeksacja!AT$61</f>
        <v>1.1730097229263811E-2</v>
      </c>
      <c r="AU179" s="408">
        <f>AT179*Indeksacja!AU$61</f>
        <v>1.1862836625883425E-2</v>
      </c>
      <c r="AV179" s="408">
        <f>AU179*Indeksacja!AV$61</f>
        <v>1.1997696736435925E-2</v>
      </c>
      <c r="AW179" s="408">
        <f>AV179*Indeksacja!AW$61</f>
        <v>1.2134839114669829E-2</v>
      </c>
      <c r="AX179" s="408">
        <f>AW179*Indeksacja!AX$61</f>
        <v>1.2263982765865886E-2</v>
      </c>
      <c r="AY179" s="408">
        <f>AX179*Indeksacja!AY$61</f>
        <v>1.2395405394713252E-2</v>
      </c>
      <c r="AZ179" s="408">
        <f>AY179*Indeksacja!AZ$61</f>
        <v>1.2529239413965859E-2</v>
      </c>
      <c r="BA179" s="408">
        <f>AZ179*Indeksacja!BA$61</f>
        <v>1.2666460653865298E-2</v>
      </c>
      <c r="BB179" s="408">
        <f>BA179*Indeksacja!BB$61</f>
        <v>1.2816566306558119E-2</v>
      </c>
      <c r="BC179" s="408">
        <f>BB179*Indeksacja!BC$61</f>
        <v>1.296976376937038E-2</v>
      </c>
      <c r="BD179" s="408">
        <f>BC179*Indeksacja!BD$61</f>
        <v>1.3126266510346459E-2</v>
      </c>
      <c r="BE179" s="408">
        <f>BD179*Indeksacja!BE$61</f>
        <v>1.3286132982288692E-2</v>
      </c>
      <c r="BF179" s="408">
        <f>BE179*Indeksacja!BF$61</f>
        <v>1.3460156438686303E-2</v>
      </c>
      <c r="BG179" s="408">
        <f>BF179*Indeksacja!BG$61</f>
        <v>1.3638931892216538E-2</v>
      </c>
      <c r="BH179" s="408">
        <f>BG179*Indeksacja!BH$61</f>
        <v>1.3821686449424343E-2</v>
      </c>
      <c r="BI179" s="408">
        <f>BH179*Indeksacja!BI$61</f>
        <v>1.4018842236833549E-2</v>
      </c>
    </row>
    <row r="180" spans="1:61">
      <c r="A180" s="854"/>
      <c r="B180" s="402" t="s">
        <v>227</v>
      </c>
      <c r="C180" s="377"/>
      <c r="D180" s="377"/>
      <c r="E180" s="377"/>
      <c r="F180" s="377"/>
      <c r="G180" s="377"/>
      <c r="H180" s="377"/>
      <c r="I180" s="377"/>
      <c r="J180" s="377"/>
      <c r="K180" s="377"/>
      <c r="L180" s="377"/>
      <c r="M180" s="377"/>
      <c r="N180" s="377"/>
      <c r="O180" s="377"/>
      <c r="P180" s="413"/>
      <c r="Q180" s="374">
        <f>Q178*$B$90+Q179*$B$91</f>
        <v>2.664111977697608E-3</v>
      </c>
      <c r="R180" s="374">
        <f>R178*$B$90+R179*$B$91</f>
        <v>2.8282621704910815E-3</v>
      </c>
      <c r="S180" s="374">
        <f t="shared" ref="S180:BI180" si="77">S178*$B$90+S179*$B$91</f>
        <v>3.0092236909235945E-3</v>
      </c>
      <c r="T180" s="374">
        <f t="shared" si="77"/>
        <v>3.1893418151489735E-3</v>
      </c>
      <c r="U180" s="374">
        <f t="shared" si="77"/>
        <v>3.244607685100675E-3</v>
      </c>
      <c r="V180" s="374">
        <f t="shared" si="77"/>
        <v>3.5992175278207585E-3</v>
      </c>
      <c r="W180" s="374">
        <f t="shared" si="77"/>
        <v>4.3026597177388244E-3</v>
      </c>
      <c r="X180" s="374">
        <f t="shared" si="77"/>
        <v>4.8008584351433179E-3</v>
      </c>
      <c r="Y180" s="374">
        <f t="shared" si="77"/>
        <v>4.9324460052035963E-3</v>
      </c>
      <c r="Z180" s="374">
        <f t="shared" si="77"/>
        <v>5.0915555444880451E-3</v>
      </c>
      <c r="AA180" s="374">
        <f t="shared" si="77"/>
        <v>5.2439832062629189E-3</v>
      </c>
      <c r="AB180" s="374">
        <f t="shared" si="77"/>
        <v>5.3737850042911081E-3</v>
      </c>
      <c r="AC180" s="374">
        <f t="shared" si="77"/>
        <v>5.5072664158194382E-3</v>
      </c>
      <c r="AD180" s="374">
        <f t="shared" si="77"/>
        <v>5.6404694673753966E-3</v>
      </c>
      <c r="AE180" s="374">
        <f t="shared" si="77"/>
        <v>5.7731212769045435E-3</v>
      </c>
      <c r="AF180" s="374">
        <f t="shared" si="77"/>
        <v>5.8976081216771566E-3</v>
      </c>
      <c r="AG180" s="374">
        <f t="shared" si="77"/>
        <v>6.0172484952089236E-3</v>
      </c>
      <c r="AH180" s="374">
        <f t="shared" si="77"/>
        <v>6.1410219179366312E-3</v>
      </c>
      <c r="AI180" s="374">
        <f t="shared" si="77"/>
        <v>6.2683688815220575E-3</v>
      </c>
      <c r="AJ180" s="374">
        <f t="shared" si="77"/>
        <v>6.3892923728719967E-3</v>
      </c>
      <c r="AK180" s="374">
        <f t="shared" si="77"/>
        <v>6.5083122246707807E-3</v>
      </c>
      <c r="AL180" s="374">
        <f t="shared" si="77"/>
        <v>6.6248024072224718E-3</v>
      </c>
      <c r="AM180" s="374">
        <f t="shared" si="77"/>
        <v>6.7388074283097135E-3</v>
      </c>
      <c r="AN180" s="374">
        <f t="shared" si="77"/>
        <v>6.8445695044896792E-3</v>
      </c>
      <c r="AO180" s="374">
        <f t="shared" si="77"/>
        <v>6.9415122765996515E-3</v>
      </c>
      <c r="AP180" s="374">
        <f t="shared" si="77"/>
        <v>7.0347339591885095E-3</v>
      </c>
      <c r="AQ180" s="374">
        <f t="shared" si="77"/>
        <v>7.1183293135586596E-3</v>
      </c>
      <c r="AR180" s="374">
        <f t="shared" si="77"/>
        <v>7.1972515778908498E-3</v>
      </c>
      <c r="AS180" s="374">
        <f t="shared" si="77"/>
        <v>7.2774670587202016E-3</v>
      </c>
      <c r="AT180" s="374">
        <f t="shared" si="77"/>
        <v>7.359430864387435E-3</v>
      </c>
      <c r="AU180" s="374">
        <f t="shared" si="77"/>
        <v>7.4427111981570015E-3</v>
      </c>
      <c r="AV180" s="374">
        <f t="shared" si="77"/>
        <v>7.5273220620378847E-3</v>
      </c>
      <c r="AW180" s="374">
        <f t="shared" si="77"/>
        <v>7.6133648144092935E-3</v>
      </c>
      <c r="AX180" s="374">
        <f t="shared" si="77"/>
        <v>7.6943891873514775E-3</v>
      </c>
      <c r="AY180" s="374">
        <f t="shared" si="77"/>
        <v>7.7768433846283182E-3</v>
      </c>
      <c r="AZ180" s="374">
        <f t="shared" si="77"/>
        <v>7.8608104816388583E-3</v>
      </c>
      <c r="BA180" s="374">
        <f t="shared" si="77"/>
        <v>7.946902711603164E-3</v>
      </c>
      <c r="BB180" s="374">
        <f t="shared" si="77"/>
        <v>8.0410785868542771E-3</v>
      </c>
      <c r="BC180" s="374">
        <f t="shared" si="77"/>
        <v>8.137194255303612E-3</v>
      </c>
      <c r="BD180" s="374">
        <f t="shared" si="77"/>
        <v>8.2353836462173702E-3</v>
      </c>
      <c r="BE180" s="374">
        <f t="shared" si="77"/>
        <v>8.3356834327235948E-3</v>
      </c>
      <c r="BF180" s="374">
        <f t="shared" si="77"/>
        <v>8.4448652724908625E-3</v>
      </c>
      <c r="BG180" s="374">
        <f t="shared" si="77"/>
        <v>8.5570285022399696E-3</v>
      </c>
      <c r="BH180" s="374">
        <f t="shared" si="77"/>
        <v>8.6716882107347303E-3</v>
      </c>
      <c r="BI180" s="374">
        <f t="shared" si="77"/>
        <v>8.7953832116024235E-3</v>
      </c>
    </row>
    <row r="181" spans="1:61">
      <c r="A181" s="388" t="s">
        <v>226</v>
      </c>
      <c r="B181" s="388"/>
      <c r="C181" s="388"/>
      <c r="D181" s="388"/>
      <c r="E181" s="388"/>
      <c r="F181" s="388"/>
      <c r="G181" s="388"/>
      <c r="H181" s="388"/>
      <c r="I181" s="388"/>
      <c r="J181" s="388"/>
      <c r="K181" s="388"/>
      <c r="L181" s="388"/>
      <c r="M181" s="388"/>
      <c r="N181" s="388"/>
      <c r="O181" s="388"/>
      <c r="P181" s="399"/>
      <c r="Q181" s="399"/>
      <c r="R181" s="399"/>
      <c r="S181" s="399"/>
      <c r="T181" s="399"/>
      <c r="U181" s="399"/>
      <c r="V181" s="399"/>
      <c r="W181" s="399"/>
      <c r="X181" s="399"/>
      <c r="Y181" s="399"/>
      <c r="Z181" s="399"/>
      <c r="AA181" s="399"/>
      <c r="AB181" s="399"/>
      <c r="AC181" s="399"/>
      <c r="AD181" s="399"/>
      <c r="AE181" s="399"/>
      <c r="AF181" s="399"/>
      <c r="AG181" s="399"/>
      <c r="AH181" s="399"/>
      <c r="AI181" s="399"/>
      <c r="AJ181" s="399"/>
      <c r="AK181" s="399"/>
      <c r="AL181" s="399"/>
      <c r="AM181" s="399"/>
      <c r="AN181" s="399"/>
      <c r="AO181" s="399"/>
      <c r="AP181" s="399"/>
      <c r="AQ181" s="399"/>
      <c r="AR181" s="399"/>
      <c r="AS181" s="399"/>
      <c r="AT181" s="399"/>
      <c r="AU181" s="399"/>
      <c r="AV181" s="399"/>
      <c r="AW181" s="399"/>
      <c r="AX181" s="399"/>
      <c r="AY181" s="399"/>
      <c r="AZ181" s="399"/>
      <c r="BA181" s="399"/>
      <c r="BB181" s="399"/>
      <c r="BC181" s="399"/>
      <c r="BD181" s="399"/>
      <c r="BE181" s="399"/>
      <c r="BF181" s="399"/>
      <c r="BG181" s="399"/>
      <c r="BH181" s="399"/>
      <c r="BI181" s="399"/>
    </row>
    <row r="182" spans="1:61">
      <c r="A182" s="854" t="s">
        <v>211</v>
      </c>
      <c r="B182" s="403" t="s">
        <v>208</v>
      </c>
      <c r="C182" s="409"/>
      <c r="D182" s="409"/>
      <c r="E182" s="409"/>
      <c r="F182" s="409"/>
      <c r="G182" s="409"/>
      <c r="H182" s="409"/>
      <c r="I182" s="409"/>
      <c r="J182" s="409"/>
      <c r="K182" s="409"/>
      <c r="L182" s="409"/>
      <c r="M182" s="409"/>
      <c r="N182" s="409"/>
      <c r="O182" s="409"/>
      <c r="P182" s="410"/>
      <c r="Q182" s="417">
        <f>AVERAGE(W49:W50)*$B$98*$Q$101*$Q$105/100</f>
        <v>6.0700183953228209E-2</v>
      </c>
      <c r="R182" s="414">
        <f>Q182*Indeksacja!R$61</f>
        <v>6.4440247051902017E-2</v>
      </c>
      <c r="S182" s="407">
        <f>R182*Indeksacja!S$61</f>
        <v>6.8563346107296225E-2</v>
      </c>
      <c r="T182" s="407">
        <f>S182*Indeksacja!T$61</f>
        <v>7.2667228888995086E-2</v>
      </c>
      <c r="U182" s="407">
        <f>T182*Indeksacja!U$61</f>
        <v>7.3926428389799348E-2</v>
      </c>
      <c r="V182" s="407">
        <f>U182*Indeksacja!V$61</f>
        <v>8.2005999693456302E-2</v>
      </c>
      <c r="W182" s="407">
        <f>V182*Indeksacja!W$61</f>
        <v>9.8033505551295627E-2</v>
      </c>
      <c r="X182" s="407">
        <f>W182*Indeksacja!X$61</f>
        <v>0.10938466272669706</v>
      </c>
      <c r="Y182" s="407">
        <f>X182*Indeksacja!Y$61</f>
        <v>0.11238280611386808</v>
      </c>
      <c r="Z182" s="407">
        <f>Y182*Indeksacja!Z$61</f>
        <v>0.11600802096374316</v>
      </c>
      <c r="AA182" s="407">
        <f>Z182*Indeksacja!AA$61</f>
        <v>0.11948099326624052</v>
      </c>
      <c r="AB182" s="407">
        <f>AA182*Indeksacja!AB$61</f>
        <v>0.12243844891515065</v>
      </c>
      <c r="AC182" s="407">
        <f>AB182*Indeksacja!AC$61</f>
        <v>0.12547974233747458</v>
      </c>
      <c r="AD182" s="407">
        <f>AC182*Indeksacja!AD$61</f>
        <v>0.12851469349578351</v>
      </c>
      <c r="AE182" s="407">
        <f>AD182*Indeksacja!AE$61</f>
        <v>0.13153708493711719</v>
      </c>
      <c r="AF182" s="407">
        <f>AE182*Indeksacja!AF$61</f>
        <v>0.13437344258300901</v>
      </c>
      <c r="AG182" s="407">
        <f>AF182*Indeksacja!AG$61</f>
        <v>0.13709937630591784</v>
      </c>
      <c r="AH182" s="407">
        <f>AG182*Indeksacja!AH$61</f>
        <v>0.13991947906097751</v>
      </c>
      <c r="AI182" s="407">
        <f>AH182*Indeksacja!AI$61</f>
        <v>0.14282100278829504</v>
      </c>
      <c r="AJ182" s="407">
        <f>AI182*Indeksacja!AJ$61</f>
        <v>0.14557617157648967</v>
      </c>
      <c r="AK182" s="407">
        <f>AJ182*Indeksacja!AK$61</f>
        <v>0.14828796708611977</v>
      </c>
      <c r="AL182" s="407">
        <f>AK182*Indeksacja!AL$61</f>
        <v>0.15094212560829409</v>
      </c>
      <c r="AM182" s="407">
        <f>AL182*Indeksacja!AM$61</f>
        <v>0.15353966122598528</v>
      </c>
      <c r="AN182" s="407">
        <f>AM182*Indeksacja!AN$61</f>
        <v>0.15594938631755123</v>
      </c>
      <c r="AO182" s="407">
        <f>AN182*Indeksacja!AO$61</f>
        <v>0.15815816888723011</v>
      </c>
      <c r="AP182" s="407">
        <f>AO182*Indeksacja!AP$61</f>
        <v>0.16028216867738282</v>
      </c>
      <c r="AQ182" s="407">
        <f>AP182*Indeksacja!AQ$61</f>
        <v>0.16218683838735828</v>
      </c>
      <c r="AR182" s="407">
        <f>AQ182*Indeksacja!AR$61</f>
        <v>0.16398503456044458</v>
      </c>
      <c r="AS182" s="407">
        <f>AR182*Indeksacja!AS$61</f>
        <v>0.16581269589112418</v>
      </c>
      <c r="AT182" s="407">
        <f>AS182*Indeksacja!AT$61</f>
        <v>0.1676801917483394</v>
      </c>
      <c r="AU182" s="407">
        <f>AT182*Indeksacja!AU$61</f>
        <v>0.1695776839040061</v>
      </c>
      <c r="AV182" s="407">
        <f>AU182*Indeksacja!AV$61</f>
        <v>0.17150549138545054</v>
      </c>
      <c r="AW182" s="407">
        <f>AV182*Indeksacja!AW$61</f>
        <v>0.17346592358218585</v>
      </c>
      <c r="AX182" s="407">
        <f>AW182*Indeksacja!AX$61</f>
        <v>0.17531201503159105</v>
      </c>
      <c r="AY182" s="407">
        <f>AX182*Indeksacja!AY$61</f>
        <v>0.1771906841657411</v>
      </c>
      <c r="AZ182" s="407">
        <f>AY182*Indeksacja!AZ$61</f>
        <v>0.17910382380747761</v>
      </c>
      <c r="BA182" s="407">
        <f>AZ182*Indeksacja!BA$61</f>
        <v>0.18106538332131353</v>
      </c>
      <c r="BB182" s="407">
        <f>BA182*Indeksacja!BB$61</f>
        <v>0.18321112381553972</v>
      </c>
      <c r="BC182" s="407">
        <f>BB182*Indeksacja!BC$61</f>
        <v>0.1854010613273647</v>
      </c>
      <c r="BD182" s="407">
        <f>BC182*Indeksacja!BD$61</f>
        <v>0.1876382473543092</v>
      </c>
      <c r="BE182" s="407">
        <f>BD182*Indeksacja!BE$61</f>
        <v>0.18992351747146805</v>
      </c>
      <c r="BF182" s="407">
        <f>BE182*Indeksacja!BF$61</f>
        <v>0.19241115981297074</v>
      </c>
      <c r="BG182" s="407">
        <f>BF182*Indeksacja!BG$61</f>
        <v>0.1949667313263134</v>
      </c>
      <c r="BH182" s="407">
        <f>BG182*Indeksacja!BH$61</f>
        <v>0.19757918360156285</v>
      </c>
      <c r="BI182" s="407">
        <f>BH182*Indeksacja!BI$61</f>
        <v>0.20039749956185993</v>
      </c>
    </row>
    <row r="183" spans="1:61">
      <c r="A183" s="854"/>
      <c r="B183" s="404" t="s">
        <v>209</v>
      </c>
      <c r="C183" s="411"/>
      <c r="D183" s="411"/>
      <c r="E183" s="411"/>
      <c r="F183" s="411"/>
      <c r="G183" s="411"/>
      <c r="H183" s="411"/>
      <c r="I183" s="411"/>
      <c r="J183" s="411"/>
      <c r="K183" s="411"/>
      <c r="L183" s="411"/>
      <c r="M183" s="411"/>
      <c r="N183" s="411"/>
      <c r="O183" s="411"/>
      <c r="P183" s="412"/>
      <c r="Q183" s="418">
        <f>AVERAGE(W51:W52)*$B$98*$Q$101*$Q$105/100</f>
        <v>0.1106267421831562</v>
      </c>
      <c r="R183" s="415">
        <f>Q183*Indeksacja!R$61</f>
        <v>0.11744304765736258</v>
      </c>
      <c r="S183" s="408">
        <f>R183*Indeksacja!S$61</f>
        <v>0.12495744030810267</v>
      </c>
      <c r="T183" s="408">
        <f>S183*Indeksacja!T$61</f>
        <v>0.13243681109206468</v>
      </c>
      <c r="U183" s="408">
        <f>T183*Indeksacja!U$61</f>
        <v>0.13473171580998067</v>
      </c>
      <c r="V183" s="408">
        <f>U183*Indeksacja!V$61</f>
        <v>0.14945682195214333</v>
      </c>
      <c r="W183" s="408">
        <f>V183*Indeksacja!W$61</f>
        <v>0.1786671248359111</v>
      </c>
      <c r="X183" s="408">
        <f>W183*Indeksacja!X$61</f>
        <v>0.1993547316361016</v>
      </c>
      <c r="Y183" s="408">
        <f>X183*Indeksacja!Y$61</f>
        <v>0.20481888040666005</v>
      </c>
      <c r="Z183" s="408">
        <f>Y183*Indeksacja!Z$61</f>
        <v>0.21142587370448432</v>
      </c>
      <c r="AA183" s="408">
        <f>Z183*Indeksacja!AA$61</f>
        <v>0.21775540331206608</v>
      </c>
      <c r="AB183" s="408">
        <f>AA183*Indeksacja!AB$61</f>
        <v>0.22314539823930055</v>
      </c>
      <c r="AC183" s="408">
        <f>AB183*Indeksacja!AC$61</f>
        <v>0.2286881884159169</v>
      </c>
      <c r="AD183" s="408">
        <f>AC183*Indeksacja!AD$61</f>
        <v>0.2342194197477267</v>
      </c>
      <c r="AE183" s="408">
        <f>AD183*Indeksacja!AE$61</f>
        <v>0.23972776085942138</v>
      </c>
      <c r="AF183" s="408">
        <f>AE183*Indeksacja!AF$61</f>
        <v>0.24489705336557058</v>
      </c>
      <c r="AG183" s="408">
        <f>AF183*Indeksacja!AG$61</f>
        <v>0.24986509707701912</v>
      </c>
      <c r="AH183" s="408">
        <f>AG183*Indeksacja!AH$61</f>
        <v>0.25500476486870793</v>
      </c>
      <c r="AI183" s="408">
        <f>AH183*Indeksacja!AI$61</f>
        <v>0.2602928232635161</v>
      </c>
      <c r="AJ183" s="408">
        <f>AI183*Indeksacja!AJ$61</f>
        <v>0.26531414819784482</v>
      </c>
      <c r="AK183" s="408">
        <f>AJ183*Indeksacja!AK$61</f>
        <v>0.27025642486258195</v>
      </c>
      <c r="AL183" s="408">
        <f>AK183*Indeksacja!AL$61</f>
        <v>0.27509365749390396</v>
      </c>
      <c r="AM183" s="408">
        <f>AL183*Indeksacja!AM$61</f>
        <v>0.2798276942690035</v>
      </c>
      <c r="AN183" s="408">
        <f>AM183*Indeksacja!AN$61</f>
        <v>0.28421944432765833</v>
      </c>
      <c r="AO183" s="408">
        <f>AN183*Indeksacja!AO$61</f>
        <v>0.28824497446547137</v>
      </c>
      <c r="AP183" s="408">
        <f>AO183*Indeksacja!AP$61</f>
        <v>0.29211598707003539</v>
      </c>
      <c r="AQ183" s="408">
        <f>AP183*Indeksacja!AQ$61</f>
        <v>0.29558726822977421</v>
      </c>
      <c r="AR183" s="408">
        <f>AQ183*Indeksacja!AR$61</f>
        <v>0.29886450021622157</v>
      </c>
      <c r="AS183" s="408">
        <f>AR183*Indeksacja!AS$61</f>
        <v>0.3021954327712697</v>
      </c>
      <c r="AT183" s="408">
        <f>AS183*Indeksacja!AT$61</f>
        <v>0.30559896418203858</v>
      </c>
      <c r="AU183" s="408">
        <f>AT183*Indeksacja!AU$61</f>
        <v>0.30905716417137052</v>
      </c>
      <c r="AV183" s="408">
        <f>AU183*Indeksacja!AV$61</f>
        <v>0.31257061417002036</v>
      </c>
      <c r="AW183" s="408">
        <f>AV183*Indeksacja!AW$61</f>
        <v>0.31614352306536914</v>
      </c>
      <c r="AX183" s="408">
        <f>AW183*Indeksacja!AX$61</f>
        <v>0.31950804471125482</v>
      </c>
      <c r="AY183" s="408">
        <f>AX183*Indeksacja!AY$61</f>
        <v>0.32293193954016036</v>
      </c>
      <c r="AZ183" s="408">
        <f>AY183*Indeksacja!AZ$61</f>
        <v>0.32641865724219965</v>
      </c>
      <c r="BA183" s="408">
        <f>AZ183*Indeksacja!BA$61</f>
        <v>0.32999362068516469</v>
      </c>
      <c r="BB183" s="408">
        <f>BA183*Indeksacja!BB$61</f>
        <v>0.33390425595819168</v>
      </c>
      <c r="BC183" s="408">
        <f>BB183*Indeksacja!BC$61</f>
        <v>0.33789544077411515</v>
      </c>
      <c r="BD183" s="408">
        <f>BC183*Indeksacja!BD$61</f>
        <v>0.3419727365201915</v>
      </c>
      <c r="BE183" s="408">
        <f>BD183*Indeksacja!BE$61</f>
        <v>0.34613766604107404</v>
      </c>
      <c r="BF183" s="408">
        <f>BE183*Indeksacja!BF$61</f>
        <v>0.35067142113099892</v>
      </c>
      <c r="BG183" s="408">
        <f>BF183*Indeksacja!BG$61</f>
        <v>0.35532897787176626</v>
      </c>
      <c r="BH183" s="408">
        <f>BG183*Indeksacja!BH$61</f>
        <v>0.36009020041670142</v>
      </c>
      <c r="BI183" s="408">
        <f>BH183*Indeksacja!BI$61</f>
        <v>0.36522661175559784</v>
      </c>
    </row>
    <row r="184" spans="1:61">
      <c r="A184" s="854"/>
      <c r="B184" s="402" t="s">
        <v>227</v>
      </c>
      <c r="C184" s="377"/>
      <c r="D184" s="377"/>
      <c r="E184" s="377"/>
      <c r="F184" s="377"/>
      <c r="G184" s="377"/>
      <c r="H184" s="377"/>
      <c r="I184" s="377"/>
      <c r="J184" s="377"/>
      <c r="K184" s="377"/>
      <c r="L184" s="377"/>
      <c r="M184" s="377"/>
      <c r="N184" s="377"/>
      <c r="O184" s="377"/>
      <c r="P184" s="413"/>
      <c r="Q184" s="374">
        <f>Q182*$B$90+Q183*$B$91</f>
        <v>6.8189167687717406E-2</v>
      </c>
      <c r="R184" s="374">
        <f>R182*$B$90+R183*$B$91</f>
        <v>7.2390667142721105E-2</v>
      </c>
      <c r="S184" s="374">
        <f t="shared" ref="S184:BI184" si="78">S182*$B$90+S183*$B$91</f>
        <v>7.7022460237417184E-2</v>
      </c>
      <c r="T184" s="374">
        <f t="shared" si="78"/>
        <v>8.163266621945553E-2</v>
      </c>
      <c r="U184" s="374">
        <f t="shared" si="78"/>
        <v>8.3047221502826549E-2</v>
      </c>
      <c r="V184" s="374">
        <f t="shared" si="78"/>
        <v>9.212362303225935E-2</v>
      </c>
      <c r="W184" s="374">
        <f t="shared" si="78"/>
        <v>0.11012854844398795</v>
      </c>
      <c r="X184" s="374">
        <f t="shared" si="78"/>
        <v>0.12288017306310774</v>
      </c>
      <c r="Y184" s="374">
        <f t="shared" si="78"/>
        <v>0.12624821725778687</v>
      </c>
      <c r="Z184" s="374">
        <f t="shared" si="78"/>
        <v>0.13032069887485434</v>
      </c>
      <c r="AA184" s="374">
        <f t="shared" si="78"/>
        <v>0.13422215477311436</v>
      </c>
      <c r="AB184" s="374">
        <f t="shared" si="78"/>
        <v>0.13754449131377314</v>
      </c>
      <c r="AC184" s="374">
        <f t="shared" si="78"/>
        <v>0.14096100924924093</v>
      </c>
      <c r="AD184" s="374">
        <f t="shared" si="78"/>
        <v>0.14437040243357499</v>
      </c>
      <c r="AE184" s="374">
        <f t="shared" si="78"/>
        <v>0.14776568632546283</v>
      </c>
      <c r="AF184" s="374">
        <f t="shared" si="78"/>
        <v>0.15095198420039324</v>
      </c>
      <c r="AG184" s="374">
        <f t="shared" si="78"/>
        <v>0.15401423442158302</v>
      </c>
      <c r="AH184" s="374">
        <f t="shared" si="78"/>
        <v>0.15718227193213707</v>
      </c>
      <c r="AI184" s="374">
        <f t="shared" si="78"/>
        <v>0.1604417758595782</v>
      </c>
      <c r="AJ184" s="374">
        <f t="shared" si="78"/>
        <v>0.16353686806969292</v>
      </c>
      <c r="AK184" s="374">
        <f t="shared" si="78"/>
        <v>0.1665832357525891</v>
      </c>
      <c r="AL184" s="374">
        <f t="shared" si="78"/>
        <v>0.16956485539113558</v>
      </c>
      <c r="AM184" s="374">
        <f t="shared" si="78"/>
        <v>0.17248286618243799</v>
      </c>
      <c r="AN184" s="374">
        <f t="shared" si="78"/>
        <v>0.17518989501906729</v>
      </c>
      <c r="AO184" s="374">
        <f t="shared" si="78"/>
        <v>0.17767118972396628</v>
      </c>
      <c r="AP184" s="374">
        <f t="shared" si="78"/>
        <v>0.18005724143628071</v>
      </c>
      <c r="AQ184" s="374">
        <f t="shared" si="78"/>
        <v>0.18219690286372067</v>
      </c>
      <c r="AR184" s="374">
        <f t="shared" si="78"/>
        <v>0.18421695440881114</v>
      </c>
      <c r="AS184" s="374">
        <f t="shared" si="78"/>
        <v>0.18627010642314601</v>
      </c>
      <c r="AT184" s="374">
        <f t="shared" si="78"/>
        <v>0.18836800761339428</v>
      </c>
      <c r="AU184" s="374">
        <f t="shared" si="78"/>
        <v>0.19049960594411078</v>
      </c>
      <c r="AV184" s="374">
        <f t="shared" si="78"/>
        <v>0.19266525980313601</v>
      </c>
      <c r="AW184" s="374">
        <f t="shared" si="78"/>
        <v>0.19486756350466336</v>
      </c>
      <c r="AX184" s="374">
        <f t="shared" si="78"/>
        <v>0.19694141948354063</v>
      </c>
      <c r="AY184" s="374">
        <f t="shared" si="78"/>
        <v>0.19905187247190398</v>
      </c>
      <c r="AZ184" s="374">
        <f t="shared" si="78"/>
        <v>0.20120104882268591</v>
      </c>
      <c r="BA184" s="374">
        <f t="shared" si="78"/>
        <v>0.20340461892589123</v>
      </c>
      <c r="BB184" s="374">
        <f t="shared" si="78"/>
        <v>0.20581509363693751</v>
      </c>
      <c r="BC184" s="374">
        <f t="shared" si="78"/>
        <v>0.20827521824437728</v>
      </c>
      <c r="BD184" s="374">
        <f t="shared" si="78"/>
        <v>0.21078842072919154</v>
      </c>
      <c r="BE184" s="374">
        <f t="shared" si="78"/>
        <v>0.21335563975690897</v>
      </c>
      <c r="BF184" s="374">
        <f t="shared" si="78"/>
        <v>0.21615019901067498</v>
      </c>
      <c r="BG184" s="374">
        <f t="shared" si="78"/>
        <v>0.21902106830813131</v>
      </c>
      <c r="BH184" s="374">
        <f t="shared" si="78"/>
        <v>0.22195583612383366</v>
      </c>
      <c r="BI184" s="374">
        <f t="shared" si="78"/>
        <v>0.22512186639092063</v>
      </c>
    </row>
    <row r="185" spans="1:61">
      <c r="A185" s="854" t="s">
        <v>212</v>
      </c>
      <c r="B185" s="403" t="s">
        <v>208</v>
      </c>
      <c r="C185" s="409"/>
      <c r="D185" s="409"/>
      <c r="E185" s="409"/>
      <c r="F185" s="409"/>
      <c r="G185" s="409"/>
      <c r="H185" s="409"/>
      <c r="I185" s="409"/>
      <c r="J185" s="409"/>
      <c r="K185" s="409"/>
      <c r="L185" s="409"/>
      <c r="M185" s="409"/>
      <c r="N185" s="409"/>
      <c r="O185" s="409"/>
      <c r="P185" s="410"/>
      <c r="Q185" s="417">
        <f>AVERAGE(W53:W54)*$B$98*$Q$101*$Q$105/100</f>
        <v>8.7743110930090018E-2</v>
      </c>
      <c r="R185" s="414">
        <f>Q185*Indeksacja!R$61</f>
        <v>9.3149433448080007E-2</v>
      </c>
      <c r="S185" s="407">
        <f>R185*Indeksacja!S$61</f>
        <v>9.9109440720413208E-2</v>
      </c>
      <c r="T185" s="407">
        <f>S185*Indeksacja!T$61</f>
        <v>0.10504167055411767</v>
      </c>
      <c r="U185" s="407">
        <f>T185*Indeksacja!U$61</f>
        <v>0.10686186407391518</v>
      </c>
      <c r="V185" s="407">
        <f>U185*Indeksacja!V$61</f>
        <v>0.11854101683744879</v>
      </c>
      <c r="W185" s="407">
        <f>V185*Indeksacja!W$61</f>
        <v>0.14170903928529957</v>
      </c>
      <c r="X185" s="407">
        <f>W185*Indeksacja!X$61</f>
        <v>0.15811732305579984</v>
      </c>
      <c r="Y185" s="407">
        <f>X185*Indeksacja!Y$61</f>
        <v>0.16245118846891896</v>
      </c>
      <c r="Z185" s="407">
        <f>Y185*Indeksacja!Z$61</f>
        <v>0.16769149596062438</v>
      </c>
      <c r="AA185" s="407">
        <f>Z185*Indeksacja!AA$61</f>
        <v>0.17271173435446455</v>
      </c>
      <c r="AB185" s="407">
        <f>AA185*Indeksacja!AB$61</f>
        <v>0.17698678497495515</v>
      </c>
      <c r="AC185" s="407">
        <f>AB185*Indeksacja!AC$61</f>
        <v>0.18138302447122326</v>
      </c>
      <c r="AD185" s="407">
        <f>AC185*Indeksacja!AD$61</f>
        <v>0.18577009612089235</v>
      </c>
      <c r="AE185" s="407">
        <f>AD185*Indeksacja!AE$61</f>
        <v>0.19013901249378895</v>
      </c>
      <c r="AF185" s="407">
        <f>AE185*Indeksacja!AF$61</f>
        <v>0.19423901396582174</v>
      </c>
      <c r="AG185" s="407">
        <f>AF185*Indeksacja!AG$61</f>
        <v>0.19817939584706218</v>
      </c>
      <c r="AH185" s="407">
        <f>AG185*Indeksacja!AH$61</f>
        <v>0.20225590060793933</v>
      </c>
      <c r="AI185" s="407">
        <f>AH185*Indeksacja!AI$61</f>
        <v>0.20645010071890574</v>
      </c>
      <c r="AJ185" s="407">
        <f>AI185*Indeksacja!AJ$61</f>
        <v>0.21043274236625162</v>
      </c>
      <c r="AK185" s="407">
        <f>AJ185*Indeksacja!AK$61</f>
        <v>0.21435268722843748</v>
      </c>
      <c r="AL185" s="407">
        <f>AK185*Indeksacja!AL$61</f>
        <v>0.21818931688044366</v>
      </c>
      <c r="AM185" s="407">
        <f>AL185*Indeksacja!AM$61</f>
        <v>0.22194409719583044</v>
      </c>
      <c r="AN185" s="407">
        <f>AM185*Indeksacja!AN$61</f>
        <v>0.22542739431702555</v>
      </c>
      <c r="AO185" s="407">
        <f>AN185*Indeksacja!AO$61</f>
        <v>0.22862022572888943</v>
      </c>
      <c r="AP185" s="407">
        <f>AO185*Indeksacja!AP$61</f>
        <v>0.23169050224314941</v>
      </c>
      <c r="AQ185" s="407">
        <f>AP185*Indeksacja!AQ$61</f>
        <v>0.2344437335311523</v>
      </c>
      <c r="AR185" s="407">
        <f>AQ185*Indeksacja!AR$61</f>
        <v>0.2370430555762181</v>
      </c>
      <c r="AS185" s="407">
        <f>AR185*Indeksacja!AS$61</f>
        <v>0.2396849699895916</v>
      </c>
      <c r="AT185" s="407">
        <f>AS185*Indeksacja!AT$61</f>
        <v>0.24238446586405846</v>
      </c>
      <c r="AU185" s="407">
        <f>AT185*Indeksacja!AU$61</f>
        <v>0.24512732187965022</v>
      </c>
      <c r="AV185" s="407">
        <f>AU185*Indeksacja!AV$61</f>
        <v>0.24791399919559667</v>
      </c>
      <c r="AW185" s="407">
        <f>AV185*Indeksacja!AW$61</f>
        <v>0.25074783607229562</v>
      </c>
      <c r="AX185" s="407">
        <f>AW185*Indeksacja!AX$61</f>
        <v>0.25341639152440204</v>
      </c>
      <c r="AY185" s="407">
        <f>AX185*Indeksacja!AY$61</f>
        <v>0.25613203855383576</v>
      </c>
      <c r="AZ185" s="407">
        <f>AY185*Indeksacja!AZ$61</f>
        <v>0.25889751326704236</v>
      </c>
      <c r="BA185" s="407">
        <f>AZ185*Indeksacja!BA$61</f>
        <v>0.26173297969908971</v>
      </c>
      <c r="BB185" s="407">
        <f>BA185*Indeksacja!BB$61</f>
        <v>0.26483468275747168</v>
      </c>
      <c r="BC185" s="407">
        <f>BB185*Indeksacja!BC$61</f>
        <v>0.26800027332929077</v>
      </c>
      <c r="BD185" s="407">
        <f>BC185*Indeksacja!BD$61</f>
        <v>0.27123416240423481</v>
      </c>
      <c r="BE185" s="407">
        <f>BD185*Indeksacja!BE$61</f>
        <v>0.27453755781980049</v>
      </c>
      <c r="BF185" s="407">
        <f>BE185*Indeksacja!BF$61</f>
        <v>0.27813348560303502</v>
      </c>
      <c r="BG185" s="407">
        <f>BF185*Indeksacja!BG$61</f>
        <v>0.28182760611769087</v>
      </c>
      <c r="BH185" s="407">
        <f>BG185*Indeksacja!BH$61</f>
        <v>0.28560394870609895</v>
      </c>
      <c r="BI185" s="407">
        <f>BH185*Indeksacja!BI$61</f>
        <v>0.28967787062585681</v>
      </c>
    </row>
    <row r="186" spans="1:61">
      <c r="A186" s="854"/>
      <c r="B186" s="404" t="s">
        <v>209</v>
      </c>
      <c r="C186" s="411"/>
      <c r="D186" s="411"/>
      <c r="E186" s="411"/>
      <c r="F186" s="411"/>
      <c r="G186" s="411"/>
      <c r="H186" s="411"/>
      <c r="I186" s="411"/>
      <c r="J186" s="411"/>
      <c r="K186" s="411"/>
      <c r="L186" s="411"/>
      <c r="M186" s="411"/>
      <c r="N186" s="411"/>
      <c r="O186" s="411"/>
      <c r="P186" s="412"/>
      <c r="Q186" s="418">
        <f>AVERAGE(W55:W56)*$B$98*$Q$101*$Q$105/100</f>
        <v>0.15981137452769992</v>
      </c>
      <c r="R186" s="415">
        <f>Q186*Indeksacja!R$61</f>
        <v>0.16965820835410056</v>
      </c>
      <c r="S186" s="408">
        <f>R186*Indeksacja!S$61</f>
        <v>0.18051349880699491</v>
      </c>
      <c r="T186" s="408">
        <f>S186*Indeksacja!T$61</f>
        <v>0.19131819667659627</v>
      </c>
      <c r="U186" s="408">
        <f>T186*Indeksacja!U$61</f>
        <v>0.19463341567466688</v>
      </c>
      <c r="V186" s="408">
        <f>U186*Indeksacja!V$61</f>
        <v>0.21590530171420347</v>
      </c>
      <c r="W186" s="408">
        <f>V186*Indeksacja!W$61</f>
        <v>0.25810250071059698</v>
      </c>
      <c r="X186" s="408">
        <f>W186*Indeksacja!X$61</f>
        <v>0.28798781427206255</v>
      </c>
      <c r="Y186" s="408">
        <f>X186*Indeksacja!Y$61</f>
        <v>0.29588132273497147</v>
      </c>
      <c r="Z186" s="408">
        <f>Y186*Indeksacja!Z$61</f>
        <v>0.30542578422397088</v>
      </c>
      <c r="AA186" s="408">
        <f>Z186*Indeksacja!AA$61</f>
        <v>0.31456942170926083</v>
      </c>
      <c r="AB186" s="408">
        <f>AA186*Indeksacja!AB$61</f>
        <v>0.32235580754165338</v>
      </c>
      <c r="AC186" s="408">
        <f>AB186*Indeksacja!AC$61</f>
        <v>0.33036292136750517</v>
      </c>
      <c r="AD186" s="408">
        <f>AC186*Indeksacja!AD$61</f>
        <v>0.3383533372879497</v>
      </c>
      <c r="AE186" s="408">
        <f>AD186*Indeksacja!AE$61</f>
        <v>0.3463106859999811</v>
      </c>
      <c r="AF186" s="408">
        <f>AE186*Indeksacja!AF$61</f>
        <v>0.35377824514924822</v>
      </c>
      <c r="AG186" s="408">
        <f>AF186*Indeksacja!AG$61</f>
        <v>0.36095508032103524</v>
      </c>
      <c r="AH186" s="408">
        <f>AG186*Indeksacja!AH$61</f>
        <v>0.36837984361240694</v>
      </c>
      <c r="AI186" s="408">
        <f>AH186*Indeksacja!AI$61</f>
        <v>0.37601897194593303</v>
      </c>
      <c r="AJ186" s="408">
        <f>AI186*Indeksacja!AJ$61</f>
        <v>0.38327277716399422</v>
      </c>
      <c r="AK186" s="408">
        <f>AJ186*Indeksacja!AK$61</f>
        <v>0.39041238926411509</v>
      </c>
      <c r="AL186" s="408">
        <f>AK186*Indeksacja!AL$61</f>
        <v>0.39740025476992513</v>
      </c>
      <c r="AM186" s="408">
        <f>AL186*Indeksacja!AM$61</f>
        <v>0.40423904355790885</v>
      </c>
      <c r="AN186" s="408">
        <f>AM186*Indeksacja!AN$61</f>
        <v>0.41058336500862763</v>
      </c>
      <c r="AO186" s="408">
        <f>AN186*Indeksacja!AO$61</f>
        <v>0.41639864521873704</v>
      </c>
      <c r="AP186" s="408">
        <f>AO186*Indeksacja!AP$61</f>
        <v>0.42199070942438099</v>
      </c>
      <c r="AQ186" s="408">
        <f>AP186*Indeksacja!AQ$61</f>
        <v>0.42700532164708854</v>
      </c>
      <c r="AR186" s="408">
        <f>AQ186*Indeksacja!AR$61</f>
        <v>0.43173961046428233</v>
      </c>
      <c r="AS186" s="408">
        <f>AR186*Indeksacja!AS$61</f>
        <v>0.43655147511451292</v>
      </c>
      <c r="AT186" s="408">
        <f>AS186*Indeksacja!AT$61</f>
        <v>0.44146821606041042</v>
      </c>
      <c r="AU186" s="408">
        <f>AT186*Indeksacja!AU$61</f>
        <v>0.44646393122638556</v>
      </c>
      <c r="AV186" s="408">
        <f>AU186*Indeksacja!AV$61</f>
        <v>0.45153946054721616</v>
      </c>
      <c r="AW186" s="408">
        <f>AV186*Indeksacja!AW$61</f>
        <v>0.45670088418095733</v>
      </c>
      <c r="AX186" s="408">
        <f>AW186*Indeksacja!AX$61</f>
        <v>0.46156127162658039</v>
      </c>
      <c r="AY186" s="408">
        <f>AX186*Indeksacja!AY$61</f>
        <v>0.46650742956314656</v>
      </c>
      <c r="AZ186" s="408">
        <f>AY186*Indeksacja!AZ$61</f>
        <v>0.4715443414124571</v>
      </c>
      <c r="BA186" s="408">
        <f>AZ186*Indeksacja!BA$61</f>
        <v>0.47670873304536476</v>
      </c>
      <c r="BB186" s="408">
        <f>BA186*Indeksacja!BB$61</f>
        <v>0.48235803615169903</v>
      </c>
      <c r="BC186" s="408">
        <f>BB186*Indeksacja!BC$61</f>
        <v>0.48812370111515602</v>
      </c>
      <c r="BD186" s="408">
        <f>BC186*Indeksacja!BD$61</f>
        <v>0.49401376191490015</v>
      </c>
      <c r="BE186" s="408">
        <f>BD186*Indeksacja!BE$61</f>
        <v>0.50003041845208041</v>
      </c>
      <c r="BF186" s="408">
        <f>BE186*Indeksacja!BF$61</f>
        <v>0.50657988034885459</v>
      </c>
      <c r="BG186" s="408">
        <f>BF186*Indeksacja!BG$61</f>
        <v>0.51330818609115381</v>
      </c>
      <c r="BH186" s="408">
        <f>BG186*Indeksacja!BH$61</f>
        <v>0.5201862474380079</v>
      </c>
      <c r="BI186" s="408">
        <f>BH186*Indeksacja!BI$61</f>
        <v>0.52760630645818285</v>
      </c>
    </row>
    <row r="187" spans="1:61">
      <c r="A187" s="854"/>
      <c r="B187" s="402" t="s">
        <v>227</v>
      </c>
      <c r="C187" s="377"/>
      <c r="D187" s="377"/>
      <c r="E187" s="377"/>
      <c r="F187" s="377"/>
      <c r="G187" s="377"/>
      <c r="H187" s="377"/>
      <c r="I187" s="377"/>
      <c r="J187" s="377"/>
      <c r="K187" s="377"/>
      <c r="L187" s="377"/>
      <c r="M187" s="377"/>
      <c r="N187" s="377"/>
      <c r="O187" s="377"/>
      <c r="P187" s="413"/>
      <c r="Q187" s="374">
        <f>Q185*$B$90+Q186*$B$91</f>
        <v>9.8553350469731502E-2</v>
      </c>
      <c r="R187" s="374">
        <f>R185*$B$90+R186*$B$91</f>
        <v>0.1046257496839831</v>
      </c>
      <c r="S187" s="374">
        <f t="shared" ref="S187:BI187" si="79">S185*$B$90+S186*$B$91</f>
        <v>0.11132004943340046</v>
      </c>
      <c r="T187" s="374">
        <f t="shared" si="79"/>
        <v>0.11798314947248947</v>
      </c>
      <c r="U187" s="374">
        <f t="shared" si="79"/>
        <v>0.12002759681402793</v>
      </c>
      <c r="V187" s="374">
        <f t="shared" si="79"/>
        <v>0.13314565956896199</v>
      </c>
      <c r="W187" s="374">
        <f t="shared" si="79"/>
        <v>0.15916805849909418</v>
      </c>
      <c r="X187" s="374">
        <f t="shared" si="79"/>
        <v>0.17759789673823925</v>
      </c>
      <c r="Y187" s="374">
        <f t="shared" si="79"/>
        <v>0.18246570860882685</v>
      </c>
      <c r="Z187" s="374">
        <f t="shared" si="79"/>
        <v>0.18835163920012635</v>
      </c>
      <c r="AA187" s="374">
        <f t="shared" si="79"/>
        <v>0.19399038745768402</v>
      </c>
      <c r="AB187" s="374">
        <f t="shared" si="79"/>
        <v>0.1987921383599599</v>
      </c>
      <c r="AC187" s="374">
        <f t="shared" si="79"/>
        <v>0.20373000900566554</v>
      </c>
      <c r="AD187" s="374">
        <f t="shared" si="79"/>
        <v>0.20865758229595094</v>
      </c>
      <c r="AE187" s="374">
        <f t="shared" si="79"/>
        <v>0.21356476351971776</v>
      </c>
      <c r="AF187" s="374">
        <f t="shared" si="79"/>
        <v>0.21816989864333572</v>
      </c>
      <c r="AG187" s="374">
        <f t="shared" si="79"/>
        <v>0.22259574851815817</v>
      </c>
      <c r="AH187" s="374">
        <f t="shared" si="79"/>
        <v>0.22717449205860946</v>
      </c>
      <c r="AI187" s="374">
        <f t="shared" si="79"/>
        <v>0.23188543140295986</v>
      </c>
      <c r="AJ187" s="374">
        <f t="shared" si="79"/>
        <v>0.23635874758591302</v>
      </c>
      <c r="AK187" s="374">
        <f t="shared" si="79"/>
        <v>0.24076164253378912</v>
      </c>
      <c r="AL187" s="374">
        <f t="shared" si="79"/>
        <v>0.24507095756386588</v>
      </c>
      <c r="AM187" s="374">
        <f t="shared" si="79"/>
        <v>0.2492883391501422</v>
      </c>
      <c r="AN187" s="374">
        <f t="shared" si="79"/>
        <v>0.25320078992076589</v>
      </c>
      <c r="AO187" s="374">
        <f t="shared" si="79"/>
        <v>0.2567869886523666</v>
      </c>
      <c r="AP187" s="374">
        <f t="shared" si="79"/>
        <v>0.26023553332033417</v>
      </c>
      <c r="AQ187" s="374">
        <f t="shared" si="79"/>
        <v>0.26332797174854272</v>
      </c>
      <c r="AR187" s="374">
        <f t="shared" si="79"/>
        <v>0.26624753880942775</v>
      </c>
      <c r="AS187" s="374">
        <f t="shared" si="79"/>
        <v>0.26921494575832983</v>
      </c>
      <c r="AT187" s="374">
        <f t="shared" si="79"/>
        <v>0.27224702839351123</v>
      </c>
      <c r="AU187" s="374">
        <f t="shared" si="79"/>
        <v>0.27532781328166051</v>
      </c>
      <c r="AV187" s="374">
        <f t="shared" si="79"/>
        <v>0.27845781839833961</v>
      </c>
      <c r="AW187" s="374">
        <f t="shared" si="79"/>
        <v>0.28164079328859487</v>
      </c>
      <c r="AX187" s="374">
        <f t="shared" si="79"/>
        <v>0.28463812353972878</v>
      </c>
      <c r="AY187" s="374">
        <f t="shared" si="79"/>
        <v>0.2876883472052324</v>
      </c>
      <c r="AZ187" s="374">
        <f t="shared" si="79"/>
        <v>0.29079453748885459</v>
      </c>
      <c r="BA187" s="374">
        <f t="shared" si="79"/>
        <v>0.29397934270103099</v>
      </c>
      <c r="BB187" s="374">
        <f t="shared" si="79"/>
        <v>0.2974631857666058</v>
      </c>
      <c r="BC187" s="374">
        <f t="shared" si="79"/>
        <v>0.30101878749717059</v>
      </c>
      <c r="BD187" s="374">
        <f t="shared" si="79"/>
        <v>0.30465110233083459</v>
      </c>
      <c r="BE187" s="374">
        <f t="shared" si="79"/>
        <v>0.30836148691464249</v>
      </c>
      <c r="BF187" s="374">
        <f t="shared" si="79"/>
        <v>0.31240044481490797</v>
      </c>
      <c r="BG187" s="374">
        <f t="shared" si="79"/>
        <v>0.31654969311371028</v>
      </c>
      <c r="BH187" s="374">
        <f t="shared" si="79"/>
        <v>0.32079129351588531</v>
      </c>
      <c r="BI187" s="374">
        <f t="shared" si="79"/>
        <v>0.32536713600070571</v>
      </c>
    </row>
    <row r="188" spans="1:61"/>
    <row r="189" spans="1:61"/>
    <row r="190" spans="1:61">
      <c r="A190" s="113" t="s">
        <v>772</v>
      </c>
      <c r="B190" s="626"/>
    </row>
    <row r="191" spans="1:61" s="672" customFormat="1">
      <c r="A191"/>
      <c r="B191"/>
      <c r="C191"/>
      <c r="D191"/>
      <c r="E191"/>
      <c r="F191"/>
      <c r="G191"/>
      <c r="H191"/>
      <c r="I191"/>
      <c r="J191"/>
      <c r="K191"/>
      <c r="L191"/>
      <c r="M191"/>
      <c r="N191"/>
      <c r="O191"/>
      <c r="P191"/>
      <c r="Q191"/>
      <c r="R191"/>
      <c r="S191"/>
      <c r="T191"/>
      <c r="U191"/>
      <c r="V191"/>
      <c r="W191"/>
      <c r="X191"/>
    </row>
    <row r="192" spans="1:61" s="672" customFormat="1">
      <c r="A192"/>
      <c r="B192"/>
      <c r="C192"/>
      <c r="D192"/>
      <c r="E192"/>
      <c r="F192"/>
      <c r="G192"/>
      <c r="H192"/>
      <c r="I192"/>
      <c r="J192"/>
      <c r="K192"/>
      <c r="L192"/>
      <c r="M192"/>
      <c r="N192"/>
      <c r="O192"/>
      <c r="P192"/>
      <c r="Q192"/>
      <c r="R192"/>
      <c r="S192"/>
      <c r="T192"/>
      <c r="U192"/>
      <c r="V192"/>
      <c r="W192"/>
      <c r="X192"/>
    </row>
    <row r="193" spans="1:24" s="672" customFormat="1">
      <c r="A193"/>
      <c r="B193"/>
      <c r="C193"/>
      <c r="D193"/>
      <c r="E193"/>
      <c r="F193"/>
      <c r="G193"/>
      <c r="H193"/>
      <c r="I193"/>
      <c r="J193"/>
      <c r="K193"/>
      <c r="L193"/>
      <c r="M193"/>
      <c r="N193"/>
      <c r="O193"/>
      <c r="P193"/>
      <c r="Q193"/>
      <c r="R193"/>
      <c r="S193"/>
      <c r="T193"/>
      <c r="U193"/>
      <c r="V193"/>
      <c r="W193"/>
      <c r="X193"/>
    </row>
    <row r="194" spans="1:24" s="672" customFormat="1">
      <c r="A194"/>
      <c r="B194"/>
      <c r="C194"/>
      <c r="D194"/>
      <c r="E194"/>
      <c r="F194"/>
      <c r="G194"/>
      <c r="H194"/>
      <c r="I194"/>
      <c r="J194"/>
      <c r="K194"/>
      <c r="L194"/>
      <c r="M194"/>
      <c r="N194"/>
      <c r="O194"/>
      <c r="P194"/>
      <c r="Q194"/>
      <c r="R194"/>
      <c r="S194"/>
      <c r="T194"/>
      <c r="U194"/>
      <c r="V194"/>
      <c r="W194"/>
      <c r="X194"/>
    </row>
    <row r="195" spans="1:24" s="672" customFormat="1">
      <c r="A195"/>
      <c r="B195"/>
      <c r="C195"/>
      <c r="D195"/>
      <c r="E195"/>
      <c r="F195"/>
      <c r="G195"/>
      <c r="H195"/>
      <c r="I195"/>
      <c r="J195"/>
      <c r="K195"/>
      <c r="L195"/>
      <c r="M195"/>
      <c r="N195"/>
      <c r="O195"/>
      <c r="P195"/>
      <c r="Q195"/>
      <c r="R195"/>
      <c r="S195"/>
      <c r="T195"/>
      <c r="U195"/>
      <c r="V195"/>
      <c r="W195"/>
      <c r="X195"/>
    </row>
    <row r="196" spans="1:24" s="672" customFormat="1">
      <c r="A196"/>
      <c r="B196"/>
      <c r="C196"/>
      <c r="D196"/>
      <c r="E196"/>
      <c r="F196"/>
      <c r="G196"/>
      <c r="H196"/>
      <c r="I196"/>
      <c r="J196"/>
      <c r="K196"/>
      <c r="L196"/>
      <c r="M196"/>
      <c r="N196"/>
      <c r="O196"/>
      <c r="P196"/>
      <c r="Q196"/>
      <c r="R196"/>
      <c r="S196"/>
      <c r="T196"/>
      <c r="U196"/>
      <c r="V196"/>
      <c r="W196"/>
      <c r="X196"/>
    </row>
    <row r="197" spans="1:24" s="672" customFormat="1">
      <c r="A197"/>
      <c r="B197"/>
      <c r="C197"/>
      <c r="D197"/>
      <c r="E197"/>
      <c r="F197"/>
      <c r="G197"/>
      <c r="H197"/>
      <c r="I197"/>
      <c r="J197"/>
      <c r="K197"/>
      <c r="L197"/>
      <c r="M197"/>
      <c r="N197"/>
      <c r="O197"/>
      <c r="P197"/>
      <c r="Q197"/>
      <c r="R197"/>
      <c r="S197"/>
      <c r="T197"/>
      <c r="U197"/>
      <c r="V197"/>
      <c r="W197"/>
      <c r="X197"/>
    </row>
    <row r="198" spans="1:24" s="672" customFormat="1">
      <c r="A198"/>
      <c r="B198"/>
      <c r="C198"/>
      <c r="D198"/>
      <c r="E198"/>
      <c r="F198"/>
      <c r="G198"/>
      <c r="H198"/>
      <c r="I198"/>
      <c r="J198"/>
      <c r="K198"/>
      <c r="L198"/>
      <c r="M198"/>
      <c r="N198"/>
      <c r="O198"/>
      <c r="P198"/>
      <c r="Q198"/>
      <c r="R198"/>
      <c r="S198"/>
      <c r="T198"/>
      <c r="U198"/>
      <c r="V198"/>
      <c r="W198"/>
      <c r="X198"/>
    </row>
    <row r="199" spans="1:24" s="672" customFormat="1"/>
    <row r="200" spans="1:24" s="672" customFormat="1"/>
    <row r="201" spans="1:24" s="672" customFormat="1"/>
    <row r="202" spans="1:24" s="672" customFormat="1"/>
    <row r="203" spans="1:24" s="672" customFormat="1"/>
    <row r="204" spans="1:24" s="672" customFormat="1"/>
    <row r="205" spans="1:24" hidden="1" outlineLevel="1"/>
    <row r="206" spans="1:24" hidden="1" outlineLevel="1">
      <c r="A206" s="1" t="s">
        <v>773</v>
      </c>
    </row>
    <row r="207" spans="1:24" hidden="1" outlineLevel="1">
      <c r="A207" s="6" t="s">
        <v>257</v>
      </c>
      <c r="B207" s="6"/>
      <c r="C207" s="6"/>
      <c r="D207" s="6"/>
      <c r="E207" s="6"/>
      <c r="F207" s="6"/>
      <c r="G207" s="6"/>
      <c r="H207" s="6"/>
      <c r="I207" s="6"/>
      <c r="J207" s="6"/>
      <c r="K207" s="6"/>
      <c r="L207" s="6"/>
      <c r="M207" s="6"/>
      <c r="N207" s="6"/>
      <c r="O207" s="6"/>
      <c r="P207" s="6" t="s">
        <v>258</v>
      </c>
      <c r="Q207" s="6" t="s">
        <v>259</v>
      </c>
      <c r="R207" s="6" t="s">
        <v>260</v>
      </c>
      <c r="S207" s="6" t="s">
        <v>261</v>
      </c>
      <c r="T207" s="6" t="s">
        <v>262</v>
      </c>
    </row>
    <row r="208" spans="1:24" hidden="1" outlineLevel="1">
      <c r="A208" s="485" t="s">
        <v>264</v>
      </c>
      <c r="B208" s="480"/>
      <c r="C208" s="377"/>
      <c r="D208" s="377"/>
      <c r="E208" s="377"/>
      <c r="F208" s="377"/>
      <c r="G208" s="377"/>
      <c r="H208" s="377"/>
      <c r="I208" s="377"/>
      <c r="J208" s="377"/>
      <c r="K208" s="377"/>
      <c r="L208" s="377"/>
      <c r="M208" s="377"/>
      <c r="N208" s="377"/>
      <c r="O208" s="377"/>
      <c r="P208" s="374">
        <v>169.00374057269295</v>
      </c>
      <c r="Q208" s="374">
        <v>359.39502616863945</v>
      </c>
      <c r="R208" s="374">
        <v>618.84740215831539</v>
      </c>
      <c r="S208" s="374">
        <v>995.44660159862178</v>
      </c>
      <c r="T208" s="374">
        <v>1262.705961711257</v>
      </c>
    </row>
    <row r="209" spans="1:61" s="471" customFormat="1" hidden="1" outlineLevel="1">
      <c r="A209" s="485" t="s">
        <v>265</v>
      </c>
      <c r="B209" s="480"/>
      <c r="C209" s="377"/>
      <c r="D209" s="377"/>
      <c r="E209" s="377"/>
      <c r="F209" s="377"/>
      <c r="G209" s="377"/>
      <c r="H209" s="377"/>
      <c r="I209" s="377"/>
      <c r="J209" s="377"/>
      <c r="K209" s="377"/>
      <c r="L209" s="377"/>
      <c r="M209" s="377"/>
      <c r="N209" s="377"/>
      <c r="O209" s="377"/>
      <c r="P209" s="374">
        <v>117.31395460832906</v>
      </c>
      <c r="Q209" s="374">
        <v>249.47407461831884</v>
      </c>
      <c r="R209" s="374">
        <v>429.57295383090081</v>
      </c>
      <c r="S209" s="374">
        <v>690.98930614926883</v>
      </c>
      <c r="T209" s="374">
        <v>876.50740376450415</v>
      </c>
    </row>
    <row r="210" spans="1:61" hidden="1" outlineLevel="1">
      <c r="A210" s="485" t="s">
        <v>266</v>
      </c>
      <c r="B210" s="480"/>
      <c r="C210" s="377"/>
      <c r="D210" s="377"/>
      <c r="E210" s="377"/>
      <c r="F210" s="377"/>
      <c r="G210" s="377"/>
      <c r="H210" s="377"/>
      <c r="I210" s="377"/>
      <c r="J210" s="377"/>
      <c r="K210" s="377"/>
      <c r="L210" s="377"/>
      <c r="M210" s="377"/>
      <c r="N210" s="377"/>
      <c r="O210" s="377"/>
      <c r="P210" s="374">
        <f>P209*$Q$101*$Q$105/100</f>
        <v>349.09141628149587</v>
      </c>
      <c r="Q210" s="374">
        <f>Q209*$Q$101*$Q$105/100</f>
        <v>742.36060257951044</v>
      </c>
      <c r="R210" s="374">
        <f>R209*$Q$101*$Q$105/100</f>
        <v>1278.2812696897008</v>
      </c>
      <c r="S210" s="374">
        <f>S209*$Q$101*$Q$105/100</f>
        <v>2056.1785366827144</v>
      </c>
      <c r="T210" s="374">
        <f>T209*$Q$101*$Q$105/100</f>
        <v>2608.2251849998042</v>
      </c>
    </row>
    <row r="211" spans="1:61" hidden="1" outlineLevel="1">
      <c r="A211" s="35" t="s">
        <v>384</v>
      </c>
    </row>
    <row r="212" spans="1:61" hidden="1" outlineLevel="1"/>
    <row r="213" spans="1:61" s="672" customFormat="1" hidden="1" outlineLevel="1">
      <c r="A213" s="1" t="s">
        <v>774</v>
      </c>
    </row>
    <row r="214" spans="1:61" s="672" customFormat="1" hidden="1" outlineLevel="1">
      <c r="A214" s="6" t="s">
        <v>257</v>
      </c>
      <c r="B214" s="6"/>
      <c r="C214" s="6"/>
      <c r="D214" s="6"/>
      <c r="E214" s="6"/>
      <c r="F214" s="6"/>
      <c r="G214" s="6"/>
      <c r="H214" s="6"/>
      <c r="I214" s="6"/>
      <c r="J214" s="6"/>
      <c r="K214" s="6"/>
      <c r="L214" s="6"/>
      <c r="M214" s="6"/>
      <c r="N214" s="6"/>
      <c r="O214" s="6"/>
      <c r="P214" s="6" t="s">
        <v>258</v>
      </c>
      <c r="Q214" s="6" t="s">
        <v>259</v>
      </c>
      <c r="R214" s="6" t="s">
        <v>260</v>
      </c>
      <c r="S214" s="6" t="s">
        <v>261</v>
      </c>
      <c r="T214" s="6" t="s">
        <v>262</v>
      </c>
    </row>
    <row r="215" spans="1:61" s="672" customFormat="1" hidden="1" outlineLevel="1">
      <c r="A215" s="485" t="s">
        <v>264</v>
      </c>
      <c r="B215" s="480"/>
      <c r="C215" s="377"/>
      <c r="D215" s="377"/>
      <c r="E215" s="377"/>
      <c r="F215" s="377"/>
      <c r="G215" s="377"/>
      <c r="H215" s="377"/>
      <c r="I215" s="377"/>
      <c r="J215" s="377"/>
      <c r="K215" s="377"/>
      <c r="L215" s="377"/>
      <c r="M215" s="377"/>
      <c r="N215" s="377"/>
      <c r="O215" s="377"/>
      <c r="P215" s="374">
        <v>167.68539099163675</v>
      </c>
      <c r="Q215" s="374">
        <v>361.48434287933912</v>
      </c>
      <c r="R215" s="374">
        <v>626.33285718138359</v>
      </c>
      <c r="S215" s="374">
        <v>1008.8905251370288</v>
      </c>
      <c r="T215" s="374">
        <v>1283.0661327005002</v>
      </c>
    </row>
    <row r="216" spans="1:61" s="672" customFormat="1" hidden="1" outlineLevel="1">
      <c r="A216" s="485" t="s">
        <v>265</v>
      </c>
      <c r="B216" s="480"/>
      <c r="C216" s="377"/>
      <c r="D216" s="377"/>
      <c r="E216" s="377"/>
      <c r="F216" s="377"/>
      <c r="G216" s="377"/>
      <c r="H216" s="377"/>
      <c r="I216" s="377"/>
      <c r="J216" s="377"/>
      <c r="K216" s="377"/>
      <c r="L216" s="377"/>
      <c r="M216" s="377"/>
      <c r="N216" s="377"/>
      <c r="O216" s="377"/>
      <c r="P216" s="374">
        <v>116.39882218353274</v>
      </c>
      <c r="Q216" s="374">
        <v>250.92437391306149</v>
      </c>
      <c r="R216" s="374">
        <v>434.76898279347392</v>
      </c>
      <c r="S216" s="374">
        <v>700.32140631698167</v>
      </c>
      <c r="T216" s="374">
        <v>890.64041743127882</v>
      </c>
    </row>
    <row r="217" spans="1:61" s="672" customFormat="1" hidden="1" outlineLevel="1">
      <c r="A217" s="485" t="s">
        <v>266</v>
      </c>
      <c r="B217" s="480"/>
      <c r="C217" s="377"/>
      <c r="D217" s="377"/>
      <c r="E217" s="377"/>
      <c r="F217" s="377"/>
      <c r="G217" s="377"/>
      <c r="H217" s="377"/>
      <c r="I217" s="377"/>
      <c r="J217" s="377"/>
      <c r="K217" s="377"/>
      <c r="L217" s="377"/>
      <c r="M217" s="377"/>
      <c r="N217" s="377"/>
      <c r="O217" s="377"/>
      <c r="P217" s="374">
        <f>P216*$Q$101*$Q$105/100</f>
        <v>346.36825452871165</v>
      </c>
      <c r="Q217" s="374">
        <f>Q216*$Q$101*$Q$105/100</f>
        <v>746.6762616715946</v>
      </c>
      <c r="R217" s="374">
        <f>R216*$Q$101*$Q$105/100</f>
        <v>1293.7431055440991</v>
      </c>
      <c r="S217" s="374">
        <f>S216*$Q$101*$Q$105/100</f>
        <v>2083.9480895488177</v>
      </c>
      <c r="T217" s="374">
        <f>T216*$Q$101*$Q$105/100</f>
        <v>2650.2808276872584</v>
      </c>
    </row>
    <row r="218" spans="1:61" s="672" customFormat="1" hidden="1" outlineLevel="1">
      <c r="A218" s="35" t="s">
        <v>384</v>
      </c>
    </row>
    <row r="219" spans="1:61" s="672" customFormat="1" ht="45" hidden="1" outlineLevel="1">
      <c r="A219" s="684" t="s">
        <v>775</v>
      </c>
      <c r="B219" s="681"/>
      <c r="C219" s="682"/>
      <c r="D219" s="682"/>
      <c r="E219" s="682"/>
      <c r="F219" s="682"/>
      <c r="G219" s="682"/>
      <c r="H219" s="682"/>
      <c r="I219" s="682"/>
      <c r="J219" s="682"/>
      <c r="K219" s="682"/>
      <c r="L219" s="682"/>
      <c r="M219" s="682"/>
      <c r="N219" s="682"/>
      <c r="O219" s="682"/>
      <c r="P219" s="683">
        <f>(P217-P210)/P210</f>
        <v>-7.8007124374217026E-3</v>
      </c>
      <c r="Q219" s="683">
        <f t="shared" ref="Q219:T219" si="80">(Q217-Q210)/Q210</f>
        <v>5.8134268940032178E-3</v>
      </c>
      <c r="R219" s="683">
        <f t="shared" si="80"/>
        <v>1.2095800995466026E-2</v>
      </c>
      <c r="S219" s="683">
        <f t="shared" si="80"/>
        <v>1.3505419092110893E-2</v>
      </c>
      <c r="T219" s="683">
        <f t="shared" si="80"/>
        <v>1.6124237634588007E-2</v>
      </c>
    </row>
    <row r="220" spans="1:61" s="672" customFormat="1" hidden="1" outlineLevel="1"/>
    <row r="221" spans="1:61" collapsed="1">
      <c r="A221" s="1" t="s">
        <v>919</v>
      </c>
    </row>
    <row r="222" spans="1:61">
      <c r="A222" s="786" t="s">
        <v>263</v>
      </c>
      <c r="B222" s="663" t="s">
        <v>309</v>
      </c>
      <c r="C222" s="649"/>
      <c r="D222" s="649"/>
      <c r="E222" s="649"/>
      <c r="F222" s="649"/>
      <c r="G222" s="649"/>
      <c r="H222" s="649"/>
      <c r="I222" s="649"/>
      <c r="J222" s="649"/>
      <c r="K222" s="649"/>
      <c r="L222" s="649"/>
      <c r="M222" s="649"/>
      <c r="N222" s="649"/>
      <c r="O222" s="649"/>
      <c r="P222" s="652"/>
      <c r="Q222" s="6"/>
      <c r="R222" s="6"/>
      <c r="S222" s="6"/>
      <c r="T222" s="6">
        <v>2020</v>
      </c>
      <c r="U222" s="6">
        <f>T222+1</f>
        <v>2021</v>
      </c>
      <c r="V222" s="6">
        <f t="shared" ref="V222:BI222" si="81">U222+1</f>
        <v>2022</v>
      </c>
      <c r="W222" s="6">
        <f t="shared" si="81"/>
        <v>2023</v>
      </c>
      <c r="X222" s="6">
        <f t="shared" si="81"/>
        <v>2024</v>
      </c>
      <c r="Y222" s="6">
        <f t="shared" si="81"/>
        <v>2025</v>
      </c>
      <c r="Z222" s="6">
        <f t="shared" si="81"/>
        <v>2026</v>
      </c>
      <c r="AA222" s="6">
        <f t="shared" si="81"/>
        <v>2027</v>
      </c>
      <c r="AB222" s="6">
        <f t="shared" si="81"/>
        <v>2028</v>
      </c>
      <c r="AC222" s="6">
        <f t="shared" si="81"/>
        <v>2029</v>
      </c>
      <c r="AD222" s="6">
        <f t="shared" si="81"/>
        <v>2030</v>
      </c>
      <c r="AE222" s="6">
        <f t="shared" si="81"/>
        <v>2031</v>
      </c>
      <c r="AF222" s="6">
        <f t="shared" si="81"/>
        <v>2032</v>
      </c>
      <c r="AG222" s="6">
        <f t="shared" si="81"/>
        <v>2033</v>
      </c>
      <c r="AH222" s="6">
        <f t="shared" si="81"/>
        <v>2034</v>
      </c>
      <c r="AI222" s="6">
        <f t="shared" si="81"/>
        <v>2035</v>
      </c>
      <c r="AJ222" s="6">
        <f t="shared" si="81"/>
        <v>2036</v>
      </c>
      <c r="AK222" s="6">
        <f t="shared" si="81"/>
        <v>2037</v>
      </c>
      <c r="AL222" s="6">
        <f t="shared" si="81"/>
        <v>2038</v>
      </c>
      <c r="AM222" s="6">
        <f t="shared" si="81"/>
        <v>2039</v>
      </c>
      <c r="AN222" s="6">
        <f t="shared" si="81"/>
        <v>2040</v>
      </c>
      <c r="AO222" s="6">
        <f t="shared" si="81"/>
        <v>2041</v>
      </c>
      <c r="AP222" s="6">
        <f t="shared" si="81"/>
        <v>2042</v>
      </c>
      <c r="AQ222" s="6">
        <f t="shared" si="81"/>
        <v>2043</v>
      </c>
      <c r="AR222" s="6">
        <f t="shared" si="81"/>
        <v>2044</v>
      </c>
      <c r="AS222" s="6">
        <f t="shared" si="81"/>
        <v>2045</v>
      </c>
      <c r="AT222" s="6">
        <f t="shared" si="81"/>
        <v>2046</v>
      </c>
      <c r="AU222" s="6">
        <f t="shared" si="81"/>
        <v>2047</v>
      </c>
      <c r="AV222" s="6">
        <f t="shared" si="81"/>
        <v>2048</v>
      </c>
      <c r="AW222" s="6">
        <f t="shared" si="81"/>
        <v>2049</v>
      </c>
      <c r="AX222" s="6">
        <f t="shared" si="81"/>
        <v>2050</v>
      </c>
      <c r="AY222" s="6">
        <f t="shared" si="81"/>
        <v>2051</v>
      </c>
      <c r="AZ222" s="6">
        <f t="shared" si="81"/>
        <v>2052</v>
      </c>
      <c r="BA222" s="6">
        <f t="shared" si="81"/>
        <v>2053</v>
      </c>
      <c r="BB222" s="6">
        <f t="shared" si="81"/>
        <v>2054</v>
      </c>
      <c r="BC222" s="6">
        <f t="shared" si="81"/>
        <v>2055</v>
      </c>
      <c r="BD222" s="6">
        <f t="shared" si="81"/>
        <v>2056</v>
      </c>
      <c r="BE222" s="6">
        <f t="shared" si="81"/>
        <v>2057</v>
      </c>
      <c r="BF222" s="6">
        <f t="shared" si="81"/>
        <v>2058</v>
      </c>
      <c r="BG222" s="6">
        <f t="shared" si="81"/>
        <v>2059</v>
      </c>
      <c r="BH222" s="6">
        <f t="shared" si="81"/>
        <v>2060</v>
      </c>
      <c r="BI222" s="6">
        <f t="shared" si="81"/>
        <v>2061</v>
      </c>
    </row>
    <row r="223" spans="1:61">
      <c r="A223" s="788"/>
      <c r="B223" s="664" t="s">
        <v>510</v>
      </c>
      <c r="C223" s="659"/>
      <c r="D223" s="659"/>
      <c r="E223" s="659"/>
      <c r="F223" s="659"/>
      <c r="G223" s="659"/>
      <c r="H223" s="659"/>
      <c r="I223" s="659"/>
      <c r="J223" s="659"/>
      <c r="K223" s="659"/>
      <c r="L223" s="659"/>
      <c r="M223" s="659"/>
      <c r="N223" s="659"/>
      <c r="O223" s="659"/>
      <c r="P223" s="665"/>
      <c r="Q223" s="661">
        <f>DATE(2016,12,31)</f>
        <v>42735</v>
      </c>
      <c r="R223" s="661">
        <f>DATE(YEAR(Q223+1),12,31)</f>
        <v>43100</v>
      </c>
      <c r="S223" s="661">
        <f t="shared" ref="S223" si="82">DATE(YEAR(R223+1),12,31)</f>
        <v>43465</v>
      </c>
      <c r="T223" s="661">
        <f>DATE(YEAR(S223+1),12,31)</f>
        <v>43830</v>
      </c>
      <c r="U223" s="661">
        <f t="shared" ref="U223:BI223" si="83">DATE(YEAR(T223+1),12,31)</f>
        <v>44196</v>
      </c>
      <c r="V223" s="661">
        <f t="shared" si="83"/>
        <v>44561</v>
      </c>
      <c r="W223" s="661">
        <f t="shared" si="83"/>
        <v>44926</v>
      </c>
      <c r="X223" s="661">
        <f t="shared" si="83"/>
        <v>45291</v>
      </c>
      <c r="Y223" s="661">
        <f t="shared" si="83"/>
        <v>45657</v>
      </c>
      <c r="Z223" s="661">
        <f t="shared" si="83"/>
        <v>46022</v>
      </c>
      <c r="AA223" s="661">
        <f t="shared" si="83"/>
        <v>46387</v>
      </c>
      <c r="AB223" s="661">
        <f t="shared" si="83"/>
        <v>46752</v>
      </c>
      <c r="AC223" s="661">
        <f t="shared" si="83"/>
        <v>47118</v>
      </c>
      <c r="AD223" s="661">
        <f t="shared" si="83"/>
        <v>47483</v>
      </c>
      <c r="AE223" s="661">
        <f t="shared" si="83"/>
        <v>47848</v>
      </c>
      <c r="AF223" s="661">
        <f t="shared" si="83"/>
        <v>48213</v>
      </c>
      <c r="AG223" s="661">
        <f t="shared" si="83"/>
        <v>48579</v>
      </c>
      <c r="AH223" s="661">
        <f t="shared" si="83"/>
        <v>48944</v>
      </c>
      <c r="AI223" s="661">
        <f t="shared" si="83"/>
        <v>49309</v>
      </c>
      <c r="AJ223" s="661">
        <f t="shared" si="83"/>
        <v>49674</v>
      </c>
      <c r="AK223" s="661">
        <f t="shared" si="83"/>
        <v>50040</v>
      </c>
      <c r="AL223" s="661">
        <f t="shared" si="83"/>
        <v>50405</v>
      </c>
      <c r="AM223" s="661">
        <f t="shared" si="83"/>
        <v>50770</v>
      </c>
      <c r="AN223" s="661">
        <f t="shared" si="83"/>
        <v>51135</v>
      </c>
      <c r="AO223" s="661">
        <f t="shared" si="83"/>
        <v>51501</v>
      </c>
      <c r="AP223" s="661">
        <f t="shared" si="83"/>
        <v>51866</v>
      </c>
      <c r="AQ223" s="661">
        <f t="shared" si="83"/>
        <v>52231</v>
      </c>
      <c r="AR223" s="661">
        <f t="shared" si="83"/>
        <v>52596</v>
      </c>
      <c r="AS223" s="661">
        <f t="shared" si="83"/>
        <v>52962</v>
      </c>
      <c r="AT223" s="661">
        <f t="shared" si="83"/>
        <v>53327</v>
      </c>
      <c r="AU223" s="661">
        <f t="shared" si="83"/>
        <v>53692</v>
      </c>
      <c r="AV223" s="661">
        <f t="shared" si="83"/>
        <v>54057</v>
      </c>
      <c r="AW223" s="661">
        <f t="shared" si="83"/>
        <v>54423</v>
      </c>
      <c r="AX223" s="661">
        <f t="shared" si="83"/>
        <v>54788</v>
      </c>
      <c r="AY223" s="661">
        <f t="shared" si="83"/>
        <v>55153</v>
      </c>
      <c r="AZ223" s="661">
        <f t="shared" si="83"/>
        <v>55518</v>
      </c>
      <c r="BA223" s="661">
        <f t="shared" si="83"/>
        <v>55884</v>
      </c>
      <c r="BB223" s="661">
        <f t="shared" si="83"/>
        <v>56249</v>
      </c>
      <c r="BC223" s="661">
        <f t="shared" si="83"/>
        <v>56614</v>
      </c>
      <c r="BD223" s="661">
        <f t="shared" si="83"/>
        <v>56979</v>
      </c>
      <c r="BE223" s="661">
        <f t="shared" si="83"/>
        <v>57345</v>
      </c>
      <c r="BF223" s="661">
        <f t="shared" si="83"/>
        <v>57710</v>
      </c>
      <c r="BG223" s="661">
        <f t="shared" si="83"/>
        <v>58075</v>
      </c>
      <c r="BH223" s="661">
        <f t="shared" si="83"/>
        <v>58440</v>
      </c>
      <c r="BI223" s="661">
        <f t="shared" si="83"/>
        <v>58806</v>
      </c>
    </row>
    <row r="224" spans="1:61">
      <c r="A224" s="6" t="str">
        <f t="array" ref="A224:A228">TRANSPOSE(P207:T207)</f>
        <v>55-59 dB</v>
      </c>
      <c r="B224" s="481"/>
      <c r="C224" s="377"/>
      <c r="D224" s="377"/>
      <c r="E224" s="377"/>
      <c r="F224" s="377"/>
      <c r="G224" s="377"/>
      <c r="H224" s="377"/>
      <c r="I224" s="377"/>
      <c r="J224" s="377"/>
      <c r="K224" s="377"/>
      <c r="L224" s="377"/>
      <c r="M224" s="377"/>
      <c r="N224" s="377"/>
      <c r="O224" s="377"/>
      <c r="P224" s="413"/>
      <c r="Q224" s="482">
        <f t="array" ref="Q224:Q228">TRANSPOSE(P210:T210)</f>
        <v>349.09141628149587</v>
      </c>
      <c r="R224" s="483">
        <f>Q224*Indeksacja!R$61</f>
        <v>370.60080618885155</v>
      </c>
      <c r="S224" s="374">
        <f>R224*Indeksacja!S$61</f>
        <v>394.31306527896447</v>
      </c>
      <c r="T224" s="374">
        <f>S224*Indeksacja!T$61</f>
        <v>417.91481010432443</v>
      </c>
      <c r="U224" s="374">
        <f>T224*Indeksacja!U$61</f>
        <v>425.15656306928122</v>
      </c>
      <c r="V224" s="374">
        <f>U224*Indeksacja!V$61</f>
        <v>471.62279769410947</v>
      </c>
      <c r="W224" s="374">
        <f>V224*Indeksacja!W$61</f>
        <v>563.79821389522522</v>
      </c>
      <c r="X224" s="374">
        <f>W224*Indeksacja!X$61</f>
        <v>629.0795899425874</v>
      </c>
      <c r="Y224" s="374">
        <f>X224*Indeksacja!Y$61</f>
        <v>646.32214265130733</v>
      </c>
      <c r="Z224" s="374">
        <f>Y224*Indeksacja!Z$61</f>
        <v>667.17103146592342</v>
      </c>
      <c r="AA224" s="374">
        <f>Z224*Indeksacja!AA$61</f>
        <v>687.14436170688941</v>
      </c>
      <c r="AB224" s="374">
        <f>AA224*Indeksacja!AB$61</f>
        <v>704.15291611033683</v>
      </c>
      <c r="AC224" s="374">
        <f>AB224*Indeksacja!AC$61</f>
        <v>721.64362798272145</v>
      </c>
      <c r="AD224" s="374">
        <f>AC224*Indeksacja!AD$61</f>
        <v>739.09786500802602</v>
      </c>
      <c r="AE224" s="374">
        <f>AD224*Indeksacja!AE$61</f>
        <v>756.47987013712464</v>
      </c>
      <c r="AF224" s="374">
        <f>AE224*Indeksacja!AF$61</f>
        <v>772.79198063168553</v>
      </c>
      <c r="AG224" s="374">
        <f>AF224*Indeksacja!AG$61</f>
        <v>788.4690346708129</v>
      </c>
      <c r="AH224" s="374">
        <f>AG224*Indeksacja!AH$61</f>
        <v>804.68766204073495</v>
      </c>
      <c r="AI224" s="374">
        <f>AH224*Indeksacja!AI$61</f>
        <v>821.37454767067175</v>
      </c>
      <c r="AJ224" s="374">
        <f>AI224*Indeksacja!AJ$61</f>
        <v>837.21973481386954</v>
      </c>
      <c r="AK224" s="374">
        <f>AJ224*Indeksacja!AK$61</f>
        <v>852.81547890340983</v>
      </c>
      <c r="AL224" s="374">
        <f>AK224*Indeksacja!AL$61</f>
        <v>868.0797482548071</v>
      </c>
      <c r="AM224" s="374">
        <f>AL224*Indeksacja!AM$61</f>
        <v>883.01837493706148</v>
      </c>
      <c r="AN224" s="374">
        <f>AM224*Indeksacja!AN$61</f>
        <v>896.87688887026479</v>
      </c>
      <c r="AO224" s="374">
        <f>AN224*Indeksacja!AO$61</f>
        <v>909.57976693899059</v>
      </c>
      <c r="AP224" s="374">
        <f>AO224*Indeksacja!AP$61</f>
        <v>921.79505273610357</v>
      </c>
      <c r="AQ224" s="374">
        <f>AP224*Indeksacja!AQ$61</f>
        <v>932.74895440987996</v>
      </c>
      <c r="AR224" s="374">
        <f>AQ224*Indeksacja!AR$61</f>
        <v>943.09051860181648</v>
      </c>
      <c r="AS224" s="374">
        <f>AR224*Indeksacja!AS$61</f>
        <v>953.60153917634204</v>
      </c>
      <c r="AT224" s="374">
        <f>AS224*Indeksacja!AT$61</f>
        <v>964.34165117002919</v>
      </c>
      <c r="AU224" s="374">
        <f>AT224*Indeksacja!AU$61</f>
        <v>975.25427417814262</v>
      </c>
      <c r="AV224" s="374">
        <f>AU224*Indeksacja!AV$61</f>
        <v>986.34124295131903</v>
      </c>
      <c r="AW224" s="374">
        <f>AV224*Indeksacja!AW$61</f>
        <v>997.61583896587979</v>
      </c>
      <c r="AX224" s="374">
        <f>AW224*Indeksacja!AX$61</f>
        <v>1008.2328525675947</v>
      </c>
      <c r="AY224" s="374">
        <f>AX224*Indeksacja!AY$61</f>
        <v>1019.0372229344147</v>
      </c>
      <c r="AZ224" s="374">
        <f>AY224*Indeksacja!AZ$61</f>
        <v>1030.0398358357641</v>
      </c>
      <c r="BA224" s="374">
        <f>AZ224*Indeksacja!BA$61</f>
        <v>1041.3209151374851</v>
      </c>
      <c r="BB224" s="374">
        <f>BA224*Indeksacja!BB$61</f>
        <v>1053.6612333921903</v>
      </c>
      <c r="BC224" s="374">
        <f>BB224*Indeksacja!BC$61</f>
        <v>1066.2557320869557</v>
      </c>
      <c r="BD224" s="374">
        <f>BC224*Indeksacja!BD$61</f>
        <v>1079.1219606182071</v>
      </c>
      <c r="BE224" s="374">
        <f>BD224*Indeksacja!BE$61</f>
        <v>1092.26472444244</v>
      </c>
      <c r="BF224" s="374">
        <f>BE224*Indeksacja!BF$61</f>
        <v>1106.5713464597002</v>
      </c>
      <c r="BG224" s="374">
        <f>BF224*Indeksacja!BG$61</f>
        <v>1121.2686343573587</v>
      </c>
      <c r="BH224" s="374">
        <f>BG224*Indeksacja!BH$61</f>
        <v>1136.2930478819926</v>
      </c>
      <c r="BI224" s="374">
        <f>BH224*Indeksacja!BI$61</f>
        <v>1152.5013992581094</v>
      </c>
    </row>
    <row r="225" spans="1:61">
      <c r="A225" s="6" t="str">
        <v>60-64 dB</v>
      </c>
      <c r="B225" s="481"/>
      <c r="C225" s="377"/>
      <c r="D225" s="377"/>
      <c r="E225" s="377"/>
      <c r="F225" s="377"/>
      <c r="G225" s="377"/>
      <c r="H225" s="377"/>
      <c r="I225" s="377"/>
      <c r="J225" s="377"/>
      <c r="K225" s="377"/>
      <c r="L225" s="377"/>
      <c r="M225" s="377"/>
      <c r="N225" s="377"/>
      <c r="O225" s="377"/>
      <c r="P225" s="413"/>
      <c r="Q225" s="482">
        <v>742.36060257951044</v>
      </c>
      <c r="R225" s="483">
        <f>Q225*Indeksacja!R$61</f>
        <v>788.10141117007845</v>
      </c>
      <c r="S225" s="374">
        <f>R225*Indeksacja!S$61</f>
        <v>838.52673280692784</v>
      </c>
      <c r="T225" s="374">
        <f>S225*Indeksacja!T$61</f>
        <v>888.71704025451538</v>
      </c>
      <c r="U225" s="374">
        <f>T225*Indeksacja!U$61</f>
        <v>904.11699523496736</v>
      </c>
      <c r="V225" s="374">
        <f>U225*Indeksacja!V$61</f>
        <v>1002.9297999241351</v>
      </c>
      <c r="W225" s="374">
        <f>V225*Indeksacja!W$61</f>
        <v>1198.9454975971478</v>
      </c>
      <c r="X225" s="374">
        <f>W225*Indeksacja!X$61</f>
        <v>1337.7696548220879</v>
      </c>
      <c r="Y225" s="374">
        <f>X225*Indeksacja!Y$61</f>
        <v>1374.4368176965042</v>
      </c>
      <c r="Z225" s="374">
        <f>Y225*Indeksacja!Z$61</f>
        <v>1418.7730372128592</v>
      </c>
      <c r="AA225" s="374">
        <f>Z225*Indeksacja!AA$61</f>
        <v>1461.2473370141661</v>
      </c>
      <c r="AB225" s="374">
        <f>AA225*Indeksacja!AB$61</f>
        <v>1497.4168906240664</v>
      </c>
      <c r="AC225" s="374">
        <f>AB225*Indeksacja!AC$61</f>
        <v>1534.6117765466061</v>
      </c>
      <c r="AD225" s="374">
        <f>AC225*Indeksacja!AD$61</f>
        <v>1571.729096856832</v>
      </c>
      <c r="AE225" s="374">
        <f>AD225*Indeksacja!AE$61</f>
        <v>1608.6928123761866</v>
      </c>
      <c r="AF225" s="374">
        <f>AE225*Indeksacja!AF$61</f>
        <v>1643.3813426903239</v>
      </c>
      <c r="AG225" s="374">
        <f>AF225*Indeksacja!AG$61</f>
        <v>1676.7193932420271</v>
      </c>
      <c r="AH225" s="374">
        <f>AG225*Indeksacja!AH$61</f>
        <v>1711.2091269501716</v>
      </c>
      <c r="AI225" s="374">
        <f>AH225*Indeksacja!AI$61</f>
        <v>1746.6946355982166</v>
      </c>
      <c r="AJ225" s="374">
        <f>AI225*Indeksacja!AJ$61</f>
        <v>1780.3902297234079</v>
      </c>
      <c r="AK225" s="374">
        <f>AJ225*Indeksacja!AK$61</f>
        <v>1813.5553705432874</v>
      </c>
      <c r="AL225" s="374">
        <f>AK225*Indeksacja!AL$61</f>
        <v>1846.0156135201637</v>
      </c>
      <c r="AM225" s="374">
        <f>AL225*Indeksacja!AM$61</f>
        <v>1877.7833608445671</v>
      </c>
      <c r="AN225" s="374">
        <f>AM225*Indeksacja!AN$61</f>
        <v>1907.2541936249795</v>
      </c>
      <c r="AO225" s="374">
        <f>AN225*Indeksacja!AO$61</f>
        <v>1934.2675081259272</v>
      </c>
      <c r="AP225" s="374">
        <f>AO225*Indeksacja!AP$61</f>
        <v>1960.2439329306937</v>
      </c>
      <c r="AQ225" s="374">
        <f>AP225*Indeksacja!AQ$61</f>
        <v>1983.5379604199979</v>
      </c>
      <c r="AR225" s="374">
        <f>AQ225*Indeksacja!AR$61</f>
        <v>2005.5298211965176</v>
      </c>
      <c r="AS225" s="374">
        <f>AR225*Indeksacja!AS$61</f>
        <v>2027.8820395654113</v>
      </c>
      <c r="AT225" s="374">
        <f>AS225*Indeksacja!AT$61</f>
        <v>2050.7214324566298</v>
      </c>
      <c r="AU225" s="374">
        <f>AT225*Indeksacja!AU$61</f>
        <v>2073.9276787697549</v>
      </c>
      <c r="AV225" s="374">
        <f>AU225*Indeksacja!AV$61</f>
        <v>2097.5046801950739</v>
      </c>
      <c r="AW225" s="374">
        <f>AV225*Indeksacja!AW$61</f>
        <v>2121.4806804656182</v>
      </c>
      <c r="AX225" s="374">
        <f>AW225*Indeksacja!AX$61</f>
        <v>2144.0582983827785</v>
      </c>
      <c r="AY225" s="374">
        <f>AX225*Indeksacja!AY$61</f>
        <v>2167.0343399636376</v>
      </c>
      <c r="AZ225" s="374">
        <f>AY225*Indeksacja!AZ$61</f>
        <v>2190.4319543490014</v>
      </c>
      <c r="BA225" s="374">
        <f>AZ225*Indeksacja!BA$61</f>
        <v>2214.4217416585234</v>
      </c>
      <c r="BB225" s="374">
        <f>BA225*Indeksacja!BB$61</f>
        <v>2240.6640543259846</v>
      </c>
      <c r="BC225" s="374">
        <f>BB225*Indeksacja!BC$61</f>
        <v>2267.4468945912226</v>
      </c>
      <c r="BD225" s="374">
        <f>BC225*Indeksacja!BD$61</f>
        <v>2294.8075821358384</v>
      </c>
      <c r="BE225" s="374">
        <f>BD225*Indeksacja!BE$61</f>
        <v>2322.756336006802</v>
      </c>
      <c r="BF225" s="374">
        <f>BE225*Indeksacja!BF$61</f>
        <v>2353.1800933559271</v>
      </c>
      <c r="BG225" s="374">
        <f>BF225*Indeksacja!BG$61</f>
        <v>2384.4346215142259</v>
      </c>
      <c r="BH225" s="374">
        <f>BG225*Indeksacja!BH$61</f>
        <v>2416.3847989100436</v>
      </c>
      <c r="BI225" s="374">
        <f>BH225*Indeksacja!BI$61</f>
        <v>2450.8526801961648</v>
      </c>
    </row>
    <row r="226" spans="1:61">
      <c r="A226" s="6" t="str">
        <v>65-69 dB</v>
      </c>
      <c r="B226" s="481"/>
      <c r="C226" s="377"/>
      <c r="D226" s="377"/>
      <c r="E226" s="377"/>
      <c r="F226" s="377"/>
      <c r="G226" s="377"/>
      <c r="H226" s="377"/>
      <c r="I226" s="377"/>
      <c r="J226" s="377"/>
      <c r="K226" s="377"/>
      <c r="L226" s="377"/>
      <c r="M226" s="377"/>
      <c r="N226" s="377"/>
      <c r="O226" s="377"/>
      <c r="P226" s="413"/>
      <c r="Q226" s="482">
        <v>1278.2812696897008</v>
      </c>
      <c r="R226" s="483">
        <f>Q226*Indeksacja!R$61</f>
        <v>1357.0430179271721</v>
      </c>
      <c r="S226" s="374">
        <f>R226*Indeksacja!S$61</f>
        <v>1443.8710957406893</v>
      </c>
      <c r="T226" s="374">
        <f>S226*Indeksacja!T$61</f>
        <v>1530.2944992824298</v>
      </c>
      <c r="U226" s="374">
        <f>T226*Indeksacja!U$61</f>
        <v>1556.8119005792855</v>
      </c>
      <c r="V226" s="374">
        <f>U226*Indeksacja!V$61</f>
        <v>1726.9590729922252</v>
      </c>
      <c r="W226" s="374">
        <f>V226*Indeksacja!W$61</f>
        <v>2064.4812879776769</v>
      </c>
      <c r="X226" s="374">
        <f>W226*Indeksacja!X$61</f>
        <v>2303.5245768382179</v>
      </c>
      <c r="Y226" s="374">
        <f>X226*Indeksacja!Y$61</f>
        <v>2366.6622855907617</v>
      </c>
      <c r="Z226" s="374">
        <f>Y226*Indeksacja!Z$61</f>
        <v>2443.0054519437167</v>
      </c>
      <c r="AA226" s="374">
        <f>Z226*Indeksacja!AA$61</f>
        <v>2516.1425522835484</v>
      </c>
      <c r="AB226" s="374">
        <f>AA226*Indeksacja!AB$61</f>
        <v>2578.423420573055</v>
      </c>
      <c r="AC226" s="374">
        <f>AB226*Indeksacja!AC$61</f>
        <v>2642.4698231405123</v>
      </c>
      <c r="AD226" s="374">
        <f>AC226*Indeksacja!AD$61</f>
        <v>2706.3826643780067</v>
      </c>
      <c r="AE226" s="374">
        <f>AD226*Indeksacja!AE$61</f>
        <v>2770.0310113435485</v>
      </c>
      <c r="AF226" s="374">
        <f>AE226*Indeksacja!AF$61</f>
        <v>2829.7616845764073</v>
      </c>
      <c r="AG226" s="374">
        <f>AF226*Indeksacja!AG$61</f>
        <v>2887.1669475175345</v>
      </c>
      <c r="AH226" s="374">
        <f>AG226*Indeksacja!AH$61</f>
        <v>2946.5553100498587</v>
      </c>
      <c r="AI226" s="374">
        <f>AH226*Indeksacja!AI$61</f>
        <v>3007.6583116000379</v>
      </c>
      <c r="AJ226" s="374">
        <f>AI226*Indeksacja!AJ$61</f>
        <v>3065.6792339006456</v>
      </c>
      <c r="AK226" s="374">
        <f>AJ226*Indeksacja!AK$61</f>
        <v>3122.7867611176935</v>
      </c>
      <c r="AL226" s="374">
        <f>AK226*Indeksacja!AL$61</f>
        <v>3178.6805147230693</v>
      </c>
      <c r="AM226" s="374">
        <f>AL226*Indeksacja!AM$61</f>
        <v>3233.3818502248691</v>
      </c>
      <c r="AN226" s="374">
        <f>AM226*Indeksacja!AN$61</f>
        <v>3284.1280959368023</v>
      </c>
      <c r="AO226" s="374">
        <f>AN226*Indeksacja!AO$61</f>
        <v>3330.6427060047581</v>
      </c>
      <c r="AP226" s="374">
        <f>AO226*Indeksacja!AP$61</f>
        <v>3375.3718809718248</v>
      </c>
      <c r="AQ226" s="374">
        <f>AP226*Indeksacja!AQ$61</f>
        <v>3415.4821978875525</v>
      </c>
      <c r="AR226" s="374">
        <f>AQ226*Indeksacja!AR$61</f>
        <v>3453.3502954382138</v>
      </c>
      <c r="AS226" s="374">
        <f>AR226*Indeksacja!AS$61</f>
        <v>3491.83889784746</v>
      </c>
      <c r="AT226" s="374">
        <f>AS226*Indeksacja!AT$61</f>
        <v>3531.1663729888983</v>
      </c>
      <c r="AU226" s="374">
        <f>AT226*Indeksacja!AU$61</f>
        <v>3571.1255382500913</v>
      </c>
      <c r="AV226" s="374">
        <f>AU226*Indeksacja!AV$61</f>
        <v>3611.7231120069837</v>
      </c>
      <c r="AW226" s="374">
        <f>AV226*Indeksacja!AW$61</f>
        <v>3653.0077275447939</v>
      </c>
      <c r="AX226" s="374">
        <f>AW226*Indeksacja!AX$61</f>
        <v>3691.8844486388734</v>
      </c>
      <c r="AY226" s="374">
        <f>AX226*Indeksacja!AY$61</f>
        <v>3731.4472211006278</v>
      </c>
      <c r="AZ226" s="374">
        <f>AY226*Indeksacja!AZ$61</f>
        <v>3771.7359057645331</v>
      </c>
      <c r="BA226" s="374">
        <f>AZ226*Indeksacja!BA$61</f>
        <v>3813.044261400657</v>
      </c>
      <c r="BB226" s="374">
        <f>BA226*Indeksacja!BB$61</f>
        <v>3858.2312724564645</v>
      </c>
      <c r="BC226" s="374">
        <f>BB226*Indeksacja!BC$61</f>
        <v>3904.3490256631721</v>
      </c>
      <c r="BD226" s="374">
        <f>BC226*Indeksacja!BD$61</f>
        <v>3951.4617823108001</v>
      </c>
      <c r="BE226" s="374">
        <f>BD226*Indeksacja!BE$61</f>
        <v>3999.5871387215261</v>
      </c>
      <c r="BF226" s="374">
        <f>BE226*Indeksacja!BF$61</f>
        <v>4051.9742387883098</v>
      </c>
      <c r="BG226" s="374">
        <f>BF226*Indeksacja!BG$61</f>
        <v>4105.7918549157275</v>
      </c>
      <c r="BH226" s="374">
        <f>BG226*Indeksacja!BH$61</f>
        <v>4160.8073193496211</v>
      </c>
      <c r="BI226" s="374">
        <f>BH226*Indeksacja!BI$61</f>
        <v>4220.1580538859653</v>
      </c>
    </row>
    <row r="227" spans="1:61">
      <c r="A227" s="6" t="str">
        <v>70-74 dB</v>
      </c>
      <c r="B227" s="481"/>
      <c r="C227" s="377"/>
      <c r="D227" s="377"/>
      <c r="E227" s="377"/>
      <c r="F227" s="377"/>
      <c r="G227" s="377"/>
      <c r="H227" s="377"/>
      <c r="I227" s="377"/>
      <c r="J227" s="377"/>
      <c r="K227" s="377"/>
      <c r="L227" s="377"/>
      <c r="M227" s="377"/>
      <c r="N227" s="377"/>
      <c r="O227" s="377"/>
      <c r="P227" s="413"/>
      <c r="Q227" s="482">
        <v>2056.1785366827144</v>
      </c>
      <c r="R227" s="483">
        <f>Q227*Indeksacja!R$61</f>
        <v>2182.8706975377418</v>
      </c>
      <c r="S227" s="374">
        <f>R227*Indeksacja!S$61</f>
        <v>2322.5379477861238</v>
      </c>
      <c r="T227" s="374">
        <f>S227*Indeksacja!T$61</f>
        <v>2461.5542594877984</v>
      </c>
      <c r="U227" s="374">
        <f>T227*Indeksacja!U$61</f>
        <v>2504.2088087549037</v>
      </c>
      <c r="V227" s="374">
        <f>U227*Indeksacja!V$61</f>
        <v>2777.8989364978111</v>
      </c>
      <c r="W227" s="374">
        <f>V227*Indeksacja!W$61</f>
        <v>3320.8200842630154</v>
      </c>
      <c r="X227" s="374">
        <f>W227*Indeksacja!X$61</f>
        <v>3705.3330170171694</v>
      </c>
      <c r="Y227" s="374">
        <f>X227*Indeksacja!Y$61</f>
        <v>3806.8931389329186</v>
      </c>
      <c r="Z227" s="374">
        <f>Y227*Indeksacja!Z$61</f>
        <v>3929.6948914106415</v>
      </c>
      <c r="AA227" s="374">
        <f>Z227*Indeksacja!AA$61</f>
        <v>4047.3395284086296</v>
      </c>
      <c r="AB227" s="374">
        <f>AA227*Indeksacja!AB$61</f>
        <v>4147.5213801335885</v>
      </c>
      <c r="AC227" s="374">
        <f>AB227*Indeksacja!AC$61</f>
        <v>4250.5431809168495</v>
      </c>
      <c r="AD227" s="374">
        <f>AC227*Indeksacja!AD$61</f>
        <v>4353.3501417063526</v>
      </c>
      <c r="AE227" s="374">
        <f>AD227*Indeksacja!AE$61</f>
        <v>4455.731650400171</v>
      </c>
      <c r="AF227" s="374">
        <f>AE227*Indeksacja!AF$61</f>
        <v>4551.8113874621304</v>
      </c>
      <c r="AG227" s="374">
        <f>AF227*Indeksacja!AG$61</f>
        <v>4644.150587254072</v>
      </c>
      <c r="AH227" s="374">
        <f>AG227*Indeksacja!AH$61</f>
        <v>4739.6797006528313</v>
      </c>
      <c r="AI227" s="374">
        <f>AH227*Indeksacja!AI$61</f>
        <v>4837.966895571104</v>
      </c>
      <c r="AJ227" s="374">
        <f>AI227*Indeksacja!AJ$61</f>
        <v>4931.2964138405887</v>
      </c>
      <c r="AK227" s="374">
        <f>AJ227*Indeksacja!AK$61</f>
        <v>5023.1566910198217</v>
      </c>
      <c r="AL227" s="374">
        <f>AK227*Indeksacja!AL$61</f>
        <v>5113.0645534153218</v>
      </c>
      <c r="AM227" s="374">
        <f>AL227*Indeksacja!AM$61</f>
        <v>5201.0543524162758</v>
      </c>
      <c r="AN227" s="374">
        <f>AM227*Indeksacja!AN$61</f>
        <v>5282.6821942099941</v>
      </c>
      <c r="AO227" s="374">
        <f>AN227*Indeksacja!AO$61</f>
        <v>5357.5032411358507</v>
      </c>
      <c r="AP227" s="374">
        <f>AO227*Indeksacja!AP$61</f>
        <v>5429.4523275471174</v>
      </c>
      <c r="AQ227" s="374">
        <f>AP227*Indeksacja!AQ$61</f>
        <v>5493.9717527294024</v>
      </c>
      <c r="AR227" s="374">
        <f>AQ227*Indeksacja!AR$61</f>
        <v>5554.884457354714</v>
      </c>
      <c r="AS227" s="374">
        <f>AR227*Indeksacja!AS$61</f>
        <v>5616.795274682122</v>
      </c>
      <c r="AT227" s="374">
        <f>AS227*Indeksacja!AT$61</f>
        <v>5680.0554602181101</v>
      </c>
      <c r="AU227" s="374">
        <f>AT227*Indeksacja!AU$61</f>
        <v>5744.3317505010518</v>
      </c>
      <c r="AV227" s="374">
        <f>AU227*Indeksacja!AV$61</f>
        <v>5809.6349523703702</v>
      </c>
      <c r="AW227" s="374">
        <f>AV227*Indeksacja!AW$61</f>
        <v>5876.0432948665793</v>
      </c>
      <c r="AX227" s="374">
        <f>AW227*Indeksacja!AX$61</f>
        <v>5938.5784202616742</v>
      </c>
      <c r="AY227" s="374">
        <f>AX227*Indeksacja!AY$61</f>
        <v>6002.2170931550572</v>
      </c>
      <c r="AZ227" s="374">
        <f>AY227*Indeksacja!AZ$61</f>
        <v>6067.0234316670885</v>
      </c>
      <c r="BA227" s="374">
        <f>AZ227*Indeksacja!BA$61</f>
        <v>6133.4699612835893</v>
      </c>
      <c r="BB227" s="374">
        <f>BA227*Indeksacja!BB$61</f>
        <v>6206.155499648984</v>
      </c>
      <c r="BC227" s="374">
        <f>BB227*Indeksacja!BC$61</f>
        <v>6280.3381827189487</v>
      </c>
      <c r="BD227" s="374">
        <f>BC227*Indeksacja!BD$61</f>
        <v>6356.1213779513437</v>
      </c>
      <c r="BE227" s="374">
        <f>BD227*Indeksacja!BE$61</f>
        <v>6433.5333898992003</v>
      </c>
      <c r="BF227" s="374">
        <f>BE227*Indeksacja!BF$61</f>
        <v>6517.8006269389161</v>
      </c>
      <c r="BG227" s="374">
        <f>BF227*Indeksacja!BG$61</f>
        <v>6604.3689196930509</v>
      </c>
      <c r="BH227" s="374">
        <f>BG227*Indeksacja!BH$61</f>
        <v>6692.8640105912091</v>
      </c>
      <c r="BI227" s="374">
        <f>BH227*Indeksacja!BI$61</f>
        <v>6788.3325975005737</v>
      </c>
    </row>
    <row r="228" spans="1:61">
      <c r="A228" s="6" t="str">
        <v>&gt; 75 dB</v>
      </c>
      <c r="B228" s="481"/>
      <c r="C228" s="377"/>
      <c r="D228" s="377"/>
      <c r="E228" s="377"/>
      <c r="F228" s="377"/>
      <c r="G228" s="377"/>
      <c r="H228" s="377"/>
      <c r="I228" s="377"/>
      <c r="J228" s="377"/>
      <c r="K228" s="377"/>
      <c r="L228" s="377"/>
      <c r="M228" s="377"/>
      <c r="N228" s="377"/>
      <c r="O228" s="377"/>
      <c r="P228" s="413"/>
      <c r="Q228" s="482">
        <v>2608.2251849998042</v>
      </c>
      <c r="R228" s="483">
        <f>Q228*Indeksacja!R$61</f>
        <v>2768.9318934830267</v>
      </c>
      <c r="S228" s="374">
        <f>R228*Indeksacja!S$61</f>
        <v>2946.0972675585717</v>
      </c>
      <c r="T228" s="374">
        <f>S228*Indeksacja!T$61</f>
        <v>3122.4369378923839</v>
      </c>
      <c r="U228" s="374">
        <f>T228*Indeksacja!U$61</f>
        <v>3176.5434600977783</v>
      </c>
      <c r="V228" s="374">
        <f>U228*Indeksacja!V$61</f>
        <v>3523.7144237712587</v>
      </c>
      <c r="W228" s="374">
        <f>V228*Indeksacja!W$61</f>
        <v>4212.4000538405098</v>
      </c>
      <c r="X228" s="374">
        <f>W228*Indeksacja!X$61</f>
        <v>4700.1477359000255</v>
      </c>
      <c r="Y228" s="374">
        <f>X228*Indeksacja!Y$61</f>
        <v>4828.9749087581104</v>
      </c>
      <c r="Z228" s="374">
        <f>Y228*Indeksacja!Z$61</f>
        <v>4984.746704767249</v>
      </c>
      <c r="AA228" s="374">
        <f>Z228*Indeksacja!AA$61</f>
        <v>5133.976793314594</v>
      </c>
      <c r="AB228" s="374">
        <f>AA228*Indeksacja!AB$61</f>
        <v>5261.0556554305813</v>
      </c>
      <c r="AC228" s="374">
        <f>AB228*Indeksacja!AC$61</f>
        <v>5391.7369414245695</v>
      </c>
      <c r="AD228" s="374">
        <f>AC228*Indeksacja!AD$61</f>
        <v>5522.1457067825977</v>
      </c>
      <c r="AE228" s="374">
        <f>AD228*Indeksacja!AE$61</f>
        <v>5652.0147938728205</v>
      </c>
      <c r="AF228" s="374">
        <f>AE228*Indeksacja!AF$61</f>
        <v>5773.8901979306102</v>
      </c>
      <c r="AG228" s="374">
        <f>AF228*Indeksacja!AG$61</f>
        <v>5891.0207982959973</v>
      </c>
      <c r="AH228" s="374">
        <f>AG228*Indeksacja!AH$61</f>
        <v>6012.1977462225741</v>
      </c>
      <c r="AI228" s="374">
        <f>AH228*Indeksacja!AI$61</f>
        <v>6136.8732705388666</v>
      </c>
      <c r="AJ228" s="374">
        <f>AI228*Indeksacja!AJ$61</f>
        <v>6255.2600719335996</v>
      </c>
      <c r="AK228" s="374">
        <f>AJ228*Indeksacja!AK$61</f>
        <v>6371.7831676500246</v>
      </c>
      <c r="AL228" s="374">
        <f>AK228*Indeksacja!AL$61</f>
        <v>6485.8296606203112</v>
      </c>
      <c r="AM228" s="374">
        <f>AL228*Indeksacja!AM$61</f>
        <v>6597.4431249586814</v>
      </c>
      <c r="AN228" s="374">
        <f>AM228*Indeksacja!AN$61</f>
        <v>6700.9865619537186</v>
      </c>
      <c r="AO228" s="374">
        <f>AN228*Indeksacja!AO$61</f>
        <v>6795.8957031000473</v>
      </c>
      <c r="AP228" s="374">
        <f>AO228*Indeksacja!AP$61</f>
        <v>6887.1618144166014</v>
      </c>
      <c r="AQ228" s="374">
        <f>AP228*Indeksacja!AQ$61</f>
        <v>6969.0035352010418</v>
      </c>
      <c r="AR228" s="374">
        <f>AQ228*Indeksacja!AR$61</f>
        <v>7046.2701963668114</v>
      </c>
      <c r="AS228" s="374">
        <f>AR228*Indeksacja!AS$61</f>
        <v>7124.8029453944246</v>
      </c>
      <c r="AT228" s="374">
        <f>AS228*Indeksacja!AT$61</f>
        <v>7205.0473435238391</v>
      </c>
      <c r="AU228" s="374">
        <f>AT228*Indeksacja!AU$61</f>
        <v>7286.580652097713</v>
      </c>
      <c r="AV228" s="374">
        <f>AU228*Indeksacja!AV$61</f>
        <v>7369.4165793958718</v>
      </c>
      <c r="AW228" s="374">
        <f>AV228*Indeksacja!AW$61</f>
        <v>7453.6543575375244</v>
      </c>
      <c r="AX228" s="374">
        <f>AW228*Indeksacja!AX$61</f>
        <v>7532.9790300271761</v>
      </c>
      <c r="AY228" s="374">
        <f>AX228*Indeksacja!AY$61</f>
        <v>7613.7035325055804</v>
      </c>
      <c r="AZ228" s="374">
        <f>AY228*Indeksacja!AZ$61</f>
        <v>7695.909197645633</v>
      </c>
      <c r="BA228" s="374">
        <f>AZ228*Indeksacja!BA$61</f>
        <v>7780.1954154568521</v>
      </c>
      <c r="BB228" s="374">
        <f>BA228*Indeksacja!BB$61</f>
        <v>7872.3957027216657</v>
      </c>
      <c r="BC228" s="374">
        <f>BB228*Indeksacja!BC$61</f>
        <v>7966.4950908935189</v>
      </c>
      <c r="BD228" s="374">
        <f>BC228*Indeksacja!BD$61</f>
        <v>8062.6246997181397</v>
      </c>
      <c r="BE228" s="374">
        <f>BD228*Indeksacja!BE$61</f>
        <v>8160.8204330077442</v>
      </c>
      <c r="BF228" s="374">
        <f>BE228*Indeksacja!BF$61</f>
        <v>8267.7118950069162</v>
      </c>
      <c r="BG228" s="374">
        <f>BF228*Indeksacja!BG$61</f>
        <v>8377.5222044502025</v>
      </c>
      <c r="BH228" s="374">
        <f>BG228*Indeksacja!BH$61</f>
        <v>8489.7766223967119</v>
      </c>
      <c r="BI228" s="374">
        <f>BH228*Indeksacja!BI$61</f>
        <v>8610.8767935691394</v>
      </c>
    </row>
    <row r="229" spans="1:61"/>
    <row r="230" spans="1:61">
      <c r="A230" s="1" t="s">
        <v>920</v>
      </c>
      <c r="B230" s="672"/>
      <c r="C230" s="672"/>
      <c r="D230" s="672"/>
      <c r="E230" s="672"/>
      <c r="F230" s="672"/>
      <c r="G230" s="672"/>
      <c r="H230" s="672"/>
      <c r="I230" s="672"/>
      <c r="J230" s="672"/>
      <c r="K230" s="672"/>
      <c r="L230" s="672"/>
      <c r="M230" s="672"/>
      <c r="N230" s="672"/>
      <c r="O230" s="672"/>
      <c r="P230" s="672"/>
      <c r="Q230" s="672"/>
      <c r="R230" s="672"/>
      <c r="S230" s="672"/>
      <c r="T230" s="672"/>
      <c r="U230" s="672"/>
      <c r="V230" s="672"/>
      <c r="W230" s="672"/>
      <c r="X230" s="672"/>
      <c r="Y230" s="672"/>
      <c r="Z230" s="672"/>
      <c r="AA230" s="672"/>
      <c r="AB230" s="672"/>
      <c r="AC230" s="672"/>
      <c r="AD230" s="672"/>
      <c r="AE230" s="672"/>
      <c r="AF230" s="672"/>
      <c r="AG230" s="672"/>
      <c r="AH230" s="672"/>
      <c r="AI230" s="672"/>
      <c r="AJ230" s="672"/>
      <c r="AK230" s="672"/>
      <c r="AL230" s="672"/>
      <c r="AM230" s="672"/>
      <c r="AN230" s="672"/>
      <c r="AO230" s="672"/>
      <c r="AP230" s="672"/>
      <c r="AQ230" s="672"/>
      <c r="AR230" s="672"/>
      <c r="AS230" s="672"/>
      <c r="AT230" s="672"/>
      <c r="AU230" s="672"/>
      <c r="AV230" s="672"/>
      <c r="AW230" s="672"/>
      <c r="AX230" s="672"/>
      <c r="AY230" s="672"/>
      <c r="AZ230" s="672"/>
      <c r="BA230" s="672"/>
      <c r="BB230" s="672"/>
      <c r="BC230" s="672"/>
      <c r="BD230" s="672"/>
      <c r="BE230" s="672"/>
      <c r="BF230" s="672"/>
      <c r="BG230" s="672"/>
      <c r="BH230" s="672"/>
      <c r="BI230" s="672"/>
    </row>
    <row r="231" spans="1:61">
      <c r="A231" s="786" t="s">
        <v>263</v>
      </c>
      <c r="B231" s="663" t="s">
        <v>309</v>
      </c>
      <c r="C231" s="670"/>
      <c r="D231" s="670"/>
      <c r="E231" s="670"/>
      <c r="F231" s="670"/>
      <c r="G231" s="670"/>
      <c r="H231" s="670"/>
      <c r="I231" s="670"/>
      <c r="J231" s="670"/>
      <c r="K231" s="670"/>
      <c r="L231" s="670"/>
      <c r="M231" s="670"/>
      <c r="N231" s="670"/>
      <c r="O231" s="670"/>
      <c r="P231" s="674"/>
      <c r="Q231" s="6"/>
      <c r="R231" s="6"/>
      <c r="S231" s="6"/>
      <c r="T231" s="6">
        <v>2020</v>
      </c>
      <c r="U231" s="6">
        <f>T231+1</f>
        <v>2021</v>
      </c>
      <c r="V231" s="6">
        <f t="shared" ref="V231" si="84">U231+1</f>
        <v>2022</v>
      </c>
      <c r="W231" s="6">
        <f t="shared" ref="W231" si="85">V231+1</f>
        <v>2023</v>
      </c>
      <c r="X231" s="6">
        <f t="shared" ref="X231" si="86">W231+1</f>
        <v>2024</v>
      </c>
      <c r="Y231" s="6">
        <f t="shared" ref="Y231" si="87">X231+1</f>
        <v>2025</v>
      </c>
      <c r="Z231" s="6">
        <f t="shared" ref="Z231" si="88">Y231+1</f>
        <v>2026</v>
      </c>
      <c r="AA231" s="6">
        <f t="shared" ref="AA231" si="89">Z231+1</f>
        <v>2027</v>
      </c>
      <c r="AB231" s="6">
        <f t="shared" ref="AB231" si="90">AA231+1</f>
        <v>2028</v>
      </c>
      <c r="AC231" s="6">
        <f t="shared" ref="AC231" si="91">AB231+1</f>
        <v>2029</v>
      </c>
      <c r="AD231" s="6">
        <f t="shared" ref="AD231" si="92">AC231+1</f>
        <v>2030</v>
      </c>
      <c r="AE231" s="6">
        <f t="shared" ref="AE231" si="93">AD231+1</f>
        <v>2031</v>
      </c>
      <c r="AF231" s="6">
        <f t="shared" ref="AF231" si="94">AE231+1</f>
        <v>2032</v>
      </c>
      <c r="AG231" s="6">
        <f t="shared" ref="AG231" si="95">AF231+1</f>
        <v>2033</v>
      </c>
      <c r="AH231" s="6">
        <f t="shared" ref="AH231" si="96">AG231+1</f>
        <v>2034</v>
      </c>
      <c r="AI231" s="6">
        <f t="shared" ref="AI231" si="97">AH231+1</f>
        <v>2035</v>
      </c>
      <c r="AJ231" s="6">
        <f t="shared" ref="AJ231" si="98">AI231+1</f>
        <v>2036</v>
      </c>
      <c r="AK231" s="6">
        <f t="shared" ref="AK231" si="99">AJ231+1</f>
        <v>2037</v>
      </c>
      <c r="AL231" s="6">
        <f t="shared" ref="AL231" si="100">AK231+1</f>
        <v>2038</v>
      </c>
      <c r="AM231" s="6">
        <f t="shared" ref="AM231" si="101">AL231+1</f>
        <v>2039</v>
      </c>
      <c r="AN231" s="6">
        <f t="shared" ref="AN231" si="102">AM231+1</f>
        <v>2040</v>
      </c>
      <c r="AO231" s="6">
        <f t="shared" ref="AO231" si="103">AN231+1</f>
        <v>2041</v>
      </c>
      <c r="AP231" s="6">
        <f t="shared" ref="AP231" si="104">AO231+1</f>
        <v>2042</v>
      </c>
      <c r="AQ231" s="6">
        <f t="shared" ref="AQ231" si="105">AP231+1</f>
        <v>2043</v>
      </c>
      <c r="AR231" s="6">
        <f t="shared" ref="AR231" si="106">AQ231+1</f>
        <v>2044</v>
      </c>
      <c r="AS231" s="6">
        <f t="shared" ref="AS231" si="107">AR231+1</f>
        <v>2045</v>
      </c>
      <c r="AT231" s="6">
        <f t="shared" ref="AT231" si="108">AS231+1</f>
        <v>2046</v>
      </c>
      <c r="AU231" s="6">
        <f t="shared" ref="AU231" si="109">AT231+1</f>
        <v>2047</v>
      </c>
      <c r="AV231" s="6">
        <f t="shared" ref="AV231" si="110">AU231+1</f>
        <v>2048</v>
      </c>
      <c r="AW231" s="6">
        <f t="shared" ref="AW231" si="111">AV231+1</f>
        <v>2049</v>
      </c>
      <c r="AX231" s="6">
        <f t="shared" ref="AX231" si="112">AW231+1</f>
        <v>2050</v>
      </c>
      <c r="AY231" s="6">
        <f t="shared" ref="AY231" si="113">AX231+1</f>
        <v>2051</v>
      </c>
      <c r="AZ231" s="6">
        <f t="shared" ref="AZ231" si="114">AY231+1</f>
        <v>2052</v>
      </c>
      <c r="BA231" s="6">
        <f t="shared" ref="BA231" si="115">AZ231+1</f>
        <v>2053</v>
      </c>
      <c r="BB231" s="6">
        <f t="shared" ref="BB231" si="116">BA231+1</f>
        <v>2054</v>
      </c>
      <c r="BC231" s="6">
        <f t="shared" ref="BC231" si="117">BB231+1</f>
        <v>2055</v>
      </c>
      <c r="BD231" s="6">
        <f t="shared" ref="BD231" si="118">BC231+1</f>
        <v>2056</v>
      </c>
      <c r="BE231" s="6">
        <f t="shared" ref="BE231" si="119">BD231+1</f>
        <v>2057</v>
      </c>
      <c r="BF231" s="6">
        <f t="shared" ref="BF231" si="120">BE231+1</f>
        <v>2058</v>
      </c>
      <c r="BG231" s="6">
        <f t="shared" ref="BG231" si="121">BF231+1</f>
        <v>2059</v>
      </c>
      <c r="BH231" s="6">
        <f t="shared" ref="BH231" si="122">BG231+1</f>
        <v>2060</v>
      </c>
      <c r="BI231" s="6">
        <f t="shared" ref="BI231" si="123">BH231+1</f>
        <v>2061</v>
      </c>
    </row>
    <row r="232" spans="1:61">
      <c r="A232" s="788"/>
      <c r="B232" s="664" t="s">
        <v>510</v>
      </c>
      <c r="C232" s="659"/>
      <c r="D232" s="659"/>
      <c r="E232" s="659"/>
      <c r="F232" s="659"/>
      <c r="G232" s="659"/>
      <c r="H232" s="659"/>
      <c r="I232" s="659"/>
      <c r="J232" s="659"/>
      <c r="K232" s="659"/>
      <c r="L232" s="659"/>
      <c r="M232" s="659"/>
      <c r="N232" s="659"/>
      <c r="O232" s="659"/>
      <c r="P232" s="665"/>
      <c r="Q232" s="661">
        <f>DATE(2016,12,31)</f>
        <v>42735</v>
      </c>
      <c r="R232" s="661">
        <f>DATE(YEAR(Q232+1),12,31)</f>
        <v>43100</v>
      </c>
      <c r="S232" s="661">
        <f t="shared" ref="S232" si="124">DATE(YEAR(R232+1),12,31)</f>
        <v>43465</v>
      </c>
      <c r="T232" s="661">
        <f>DATE(YEAR(S232+1),12,31)</f>
        <v>43830</v>
      </c>
      <c r="U232" s="661">
        <f t="shared" ref="U232" si="125">DATE(YEAR(T232+1),12,31)</f>
        <v>44196</v>
      </c>
      <c r="V232" s="661">
        <f t="shared" ref="V232" si="126">DATE(YEAR(U232+1),12,31)</f>
        <v>44561</v>
      </c>
      <c r="W232" s="661">
        <f t="shared" ref="W232" si="127">DATE(YEAR(V232+1),12,31)</f>
        <v>44926</v>
      </c>
      <c r="X232" s="661">
        <f t="shared" ref="X232" si="128">DATE(YEAR(W232+1),12,31)</f>
        <v>45291</v>
      </c>
      <c r="Y232" s="661">
        <f t="shared" ref="Y232" si="129">DATE(YEAR(X232+1),12,31)</f>
        <v>45657</v>
      </c>
      <c r="Z232" s="661">
        <f t="shared" ref="Z232" si="130">DATE(YEAR(Y232+1),12,31)</f>
        <v>46022</v>
      </c>
      <c r="AA232" s="661">
        <f t="shared" ref="AA232" si="131">DATE(YEAR(Z232+1),12,31)</f>
        <v>46387</v>
      </c>
      <c r="AB232" s="661">
        <f t="shared" ref="AB232" si="132">DATE(YEAR(AA232+1),12,31)</f>
        <v>46752</v>
      </c>
      <c r="AC232" s="661">
        <f t="shared" ref="AC232" si="133">DATE(YEAR(AB232+1),12,31)</f>
        <v>47118</v>
      </c>
      <c r="AD232" s="661">
        <f t="shared" ref="AD232" si="134">DATE(YEAR(AC232+1),12,31)</f>
        <v>47483</v>
      </c>
      <c r="AE232" s="661">
        <f t="shared" ref="AE232" si="135">DATE(YEAR(AD232+1),12,31)</f>
        <v>47848</v>
      </c>
      <c r="AF232" s="661">
        <f t="shared" ref="AF232" si="136">DATE(YEAR(AE232+1),12,31)</f>
        <v>48213</v>
      </c>
      <c r="AG232" s="661">
        <f t="shared" ref="AG232" si="137">DATE(YEAR(AF232+1),12,31)</f>
        <v>48579</v>
      </c>
      <c r="AH232" s="661">
        <f t="shared" ref="AH232" si="138">DATE(YEAR(AG232+1),12,31)</f>
        <v>48944</v>
      </c>
      <c r="AI232" s="661">
        <f t="shared" ref="AI232" si="139">DATE(YEAR(AH232+1),12,31)</f>
        <v>49309</v>
      </c>
      <c r="AJ232" s="661">
        <f t="shared" ref="AJ232" si="140">DATE(YEAR(AI232+1),12,31)</f>
        <v>49674</v>
      </c>
      <c r="AK232" s="661">
        <f t="shared" ref="AK232" si="141">DATE(YEAR(AJ232+1),12,31)</f>
        <v>50040</v>
      </c>
      <c r="AL232" s="661">
        <f t="shared" ref="AL232" si="142">DATE(YEAR(AK232+1),12,31)</f>
        <v>50405</v>
      </c>
      <c r="AM232" s="661">
        <f t="shared" ref="AM232" si="143">DATE(YEAR(AL232+1),12,31)</f>
        <v>50770</v>
      </c>
      <c r="AN232" s="661">
        <f t="shared" ref="AN232" si="144">DATE(YEAR(AM232+1),12,31)</f>
        <v>51135</v>
      </c>
      <c r="AO232" s="661">
        <f t="shared" ref="AO232" si="145">DATE(YEAR(AN232+1),12,31)</f>
        <v>51501</v>
      </c>
      <c r="AP232" s="661">
        <f t="shared" ref="AP232" si="146">DATE(YEAR(AO232+1),12,31)</f>
        <v>51866</v>
      </c>
      <c r="AQ232" s="661">
        <f t="shared" ref="AQ232" si="147">DATE(YEAR(AP232+1),12,31)</f>
        <v>52231</v>
      </c>
      <c r="AR232" s="661">
        <f t="shared" ref="AR232" si="148">DATE(YEAR(AQ232+1),12,31)</f>
        <v>52596</v>
      </c>
      <c r="AS232" s="661">
        <f t="shared" ref="AS232" si="149">DATE(YEAR(AR232+1),12,31)</f>
        <v>52962</v>
      </c>
      <c r="AT232" s="661">
        <f t="shared" ref="AT232" si="150">DATE(YEAR(AS232+1),12,31)</f>
        <v>53327</v>
      </c>
      <c r="AU232" s="661">
        <f t="shared" ref="AU232" si="151">DATE(YEAR(AT232+1),12,31)</f>
        <v>53692</v>
      </c>
      <c r="AV232" s="661">
        <f t="shared" ref="AV232" si="152">DATE(YEAR(AU232+1),12,31)</f>
        <v>54057</v>
      </c>
      <c r="AW232" s="661">
        <f t="shared" ref="AW232" si="153">DATE(YEAR(AV232+1),12,31)</f>
        <v>54423</v>
      </c>
      <c r="AX232" s="661">
        <f t="shared" ref="AX232" si="154">DATE(YEAR(AW232+1),12,31)</f>
        <v>54788</v>
      </c>
      <c r="AY232" s="661">
        <f t="shared" ref="AY232" si="155">DATE(YEAR(AX232+1),12,31)</f>
        <v>55153</v>
      </c>
      <c r="AZ232" s="661">
        <f t="shared" ref="AZ232" si="156">DATE(YEAR(AY232+1),12,31)</f>
        <v>55518</v>
      </c>
      <c r="BA232" s="661">
        <f t="shared" ref="BA232" si="157">DATE(YEAR(AZ232+1),12,31)</f>
        <v>55884</v>
      </c>
      <c r="BB232" s="661">
        <f t="shared" ref="BB232" si="158">DATE(YEAR(BA232+1),12,31)</f>
        <v>56249</v>
      </c>
      <c r="BC232" s="661">
        <f t="shared" ref="BC232" si="159">DATE(YEAR(BB232+1),12,31)</f>
        <v>56614</v>
      </c>
      <c r="BD232" s="661">
        <f t="shared" ref="BD232" si="160">DATE(YEAR(BC232+1),12,31)</f>
        <v>56979</v>
      </c>
      <c r="BE232" s="661">
        <f t="shared" ref="BE232" si="161">DATE(YEAR(BD232+1),12,31)</f>
        <v>57345</v>
      </c>
      <c r="BF232" s="661">
        <f t="shared" ref="BF232" si="162">DATE(YEAR(BE232+1),12,31)</f>
        <v>57710</v>
      </c>
      <c r="BG232" s="661">
        <f t="shared" ref="BG232" si="163">DATE(YEAR(BF232+1),12,31)</f>
        <v>58075</v>
      </c>
      <c r="BH232" s="661">
        <f t="shared" ref="BH232" si="164">DATE(YEAR(BG232+1),12,31)</f>
        <v>58440</v>
      </c>
      <c r="BI232" s="661">
        <f t="shared" ref="BI232" si="165">DATE(YEAR(BH232+1),12,31)</f>
        <v>58806</v>
      </c>
    </row>
    <row r="233" spans="1:61">
      <c r="A233" s="6" t="str">
        <f t="array" ref="A233:A237">TRANSPOSE(P214:T214)</f>
        <v>55-59 dB</v>
      </c>
      <c r="B233" s="481"/>
      <c r="C233" s="377"/>
      <c r="D233" s="377"/>
      <c r="E233" s="377"/>
      <c r="F233" s="377"/>
      <c r="G233" s="377"/>
      <c r="H233" s="377"/>
      <c r="I233" s="377"/>
      <c r="J233" s="377"/>
      <c r="K233" s="377"/>
      <c r="L233" s="377"/>
      <c r="M233" s="377"/>
      <c r="N233" s="377"/>
      <c r="O233" s="377"/>
      <c r="P233" s="413"/>
      <c r="Q233" s="482">
        <f t="array" ref="Q233:Q237">TRANSPOSE(P217:T217)</f>
        <v>346.36825452871165</v>
      </c>
      <c r="R233" s="483">
        <f>Q233*Indeksacja!R$61</f>
        <v>367.70985587069566</v>
      </c>
      <c r="S233" s="374">
        <f>R233*Indeksacja!S$61</f>
        <v>391.23714244640496</v>
      </c>
      <c r="T233" s="374">
        <f>S233*Indeksacja!T$61</f>
        <v>414.65477684736084</v>
      </c>
      <c r="U233" s="374">
        <f>T233*Indeksacja!U$61</f>
        <v>421.84003897989516</v>
      </c>
      <c r="V233" s="374">
        <f>U233*Indeksacja!V$61</f>
        <v>467.94380387036534</v>
      </c>
      <c r="W233" s="374">
        <f>V233*Indeksacja!W$61</f>
        <v>559.40018615589656</v>
      </c>
      <c r="X233" s="374">
        <f>W233*Indeksacja!X$61</f>
        <v>624.17232096119415</v>
      </c>
      <c r="Y233" s="374">
        <f>X233*Indeksacja!Y$61</f>
        <v>641.28036947454632</v>
      </c>
      <c r="Z233" s="374">
        <f>Y233*Indeksacja!Z$61</f>
        <v>661.96662210287991</v>
      </c>
      <c r="AA233" s="374">
        <f>Z233*Indeksacja!AA$61</f>
        <v>681.78414613821849</v>
      </c>
      <c r="AB233" s="374">
        <f>AA233*Indeksacja!AB$61</f>
        <v>698.66002169978833</v>
      </c>
      <c r="AC233" s="374">
        <f>AB233*Indeksacja!AC$61</f>
        <v>716.01429355853065</v>
      </c>
      <c r="AD233" s="374">
        <f>AC233*Indeksacja!AD$61</f>
        <v>733.33237509998617</v>
      </c>
      <c r="AE233" s="374">
        <f>AD233*Indeksacja!AE$61</f>
        <v>750.57878820548694</v>
      </c>
      <c r="AF233" s="374">
        <f>AE233*Indeksacja!AF$61</f>
        <v>766.76365261683236</v>
      </c>
      <c r="AG233" s="374">
        <f>AF233*Indeksacja!AG$61</f>
        <v>782.3184144655346</v>
      </c>
      <c r="AH233" s="374">
        <f>AG233*Indeksacja!AH$61</f>
        <v>798.4105249872141</v>
      </c>
      <c r="AI233" s="374">
        <f>AH233*Indeksacja!AI$61</f>
        <v>814.96724102087569</v>
      </c>
      <c r="AJ233" s="374">
        <f>AI233*Indeksacja!AJ$61</f>
        <v>830.68882441565233</v>
      </c>
      <c r="AK233" s="374">
        <f>AJ233*Indeksacja!AK$61</f>
        <v>846.16291059030254</v>
      </c>
      <c r="AL233" s="374">
        <f>AK233*Indeksacja!AL$61</f>
        <v>861.30810776592227</v>
      </c>
      <c r="AM233" s="374">
        <f>AL233*Indeksacja!AM$61</f>
        <v>876.13020251721844</v>
      </c>
      <c r="AN233" s="374">
        <f>AM233*Indeksacja!AN$61</f>
        <v>889.8806101684188</v>
      </c>
      <c r="AO233" s="374">
        <f>AN233*Indeksacja!AO$61</f>
        <v>902.4843967382028</v>
      </c>
      <c r="AP233" s="374">
        <f>AO233*Indeksacja!AP$61</f>
        <v>914.60439460347152</v>
      </c>
      <c r="AQ233" s="374">
        <f>AP233*Indeksacja!AQ$61</f>
        <v>925.47284804022297</v>
      </c>
      <c r="AR233" s="374">
        <f>AQ233*Indeksacja!AR$61</f>
        <v>935.73374066374504</v>
      </c>
      <c r="AS233" s="374">
        <f>AR233*Indeksacja!AS$61</f>
        <v>946.16276778934491</v>
      </c>
      <c r="AT233" s="374">
        <f>AS233*Indeksacja!AT$61</f>
        <v>956.81909925782361</v>
      </c>
      <c r="AU233" s="374">
        <f>AT233*Indeksacja!AU$61</f>
        <v>967.64659603191274</v>
      </c>
      <c r="AV233" s="374">
        <f>AU233*Indeksacja!AV$61</f>
        <v>978.64707854988694</v>
      </c>
      <c r="AW233" s="374">
        <f>AV233*Indeksacja!AW$61</f>
        <v>989.83372468309005</v>
      </c>
      <c r="AX233" s="374">
        <f>AW233*Indeksacja!AX$61</f>
        <v>1000.3679180147539</v>
      </c>
      <c r="AY233" s="374">
        <f>AX233*Indeksacja!AY$61</f>
        <v>1011.0880065952748</v>
      </c>
      <c r="AZ233" s="374">
        <f>AY233*Indeksacja!AZ$61</f>
        <v>1022.0047912773206</v>
      </c>
      <c r="BA233" s="374">
        <f>AZ233*Indeksacja!BA$61</f>
        <v>1033.1978701234252</v>
      </c>
      <c r="BB233" s="374">
        <f>BA233*Indeksacja!BB$61</f>
        <v>1045.441925104039</v>
      </c>
      <c r="BC233" s="374">
        <f>BB233*Indeksacja!BC$61</f>
        <v>1057.9381777361932</v>
      </c>
      <c r="BD233" s="374">
        <f>BC233*Indeksacja!BD$61</f>
        <v>1070.7040405185182</v>
      </c>
      <c r="BE233" s="374">
        <f>BD233*Indeksacja!BE$61</f>
        <v>1083.7442814215251</v>
      </c>
      <c r="BF233" s="374">
        <f>BE233*Indeksacja!BF$61</f>
        <v>1097.9393015944777</v>
      </c>
      <c r="BG233" s="374">
        <f>BF233*Indeksacja!BG$61</f>
        <v>1112.5219401756367</v>
      </c>
      <c r="BH233" s="374">
        <f>BG233*Indeksacja!BH$61</f>
        <v>1127.429152570824</v>
      </c>
      <c r="BI233" s="374">
        <f>BH233*Indeksacja!BI$61</f>
        <v>1143.5110672587712</v>
      </c>
    </row>
    <row r="234" spans="1:61">
      <c r="A234" s="6" t="str">
        <v>60-64 dB</v>
      </c>
      <c r="B234" s="481"/>
      <c r="C234" s="377"/>
      <c r="D234" s="377"/>
      <c r="E234" s="377"/>
      <c r="F234" s="377"/>
      <c r="G234" s="377"/>
      <c r="H234" s="377"/>
      <c r="I234" s="377"/>
      <c r="J234" s="377"/>
      <c r="K234" s="377"/>
      <c r="L234" s="377"/>
      <c r="M234" s="377"/>
      <c r="N234" s="377"/>
      <c r="O234" s="377"/>
      <c r="P234" s="413"/>
      <c r="Q234" s="482">
        <v>746.6762616715946</v>
      </c>
      <c r="R234" s="483">
        <f>Q234*Indeksacja!R$61</f>
        <v>792.68298110897649</v>
      </c>
      <c r="S234" s="374">
        <f>R234*Indeksacja!S$61</f>
        <v>843.40144666676827</v>
      </c>
      <c r="T234" s="374">
        <f>S234*Indeksacja!T$61</f>
        <v>893.88353179748992</v>
      </c>
      <c r="U234" s="374">
        <f>T234*Indeksacja!U$61</f>
        <v>909.37301329039178</v>
      </c>
      <c r="V234" s="374">
        <f>U234*Indeksacja!V$61</f>
        <v>1008.7602589958115</v>
      </c>
      <c r="W234" s="374">
        <f>V234*Indeksacja!W$61</f>
        <v>1205.9154795973232</v>
      </c>
      <c r="X234" s="374">
        <f>W234*Indeksacja!X$61</f>
        <v>1345.5466809114121</v>
      </c>
      <c r="Y234" s="374">
        <f>X234*Indeksacja!Y$61</f>
        <v>1382.4270056566095</v>
      </c>
      <c r="Z234" s="374">
        <f>Y234*Indeksacja!Z$61</f>
        <v>1427.0209705438792</v>
      </c>
      <c r="AA234" s="374">
        <f>Z234*Indeksacja!AA$61</f>
        <v>1469.742191581955</v>
      </c>
      <c r="AB234" s="374">
        <f>AA234*Indeksacja!AB$61</f>
        <v>1506.1220142475552</v>
      </c>
      <c r="AC234" s="374">
        <f>AB234*Indeksacja!AC$61</f>
        <v>1543.5331299202362</v>
      </c>
      <c r="AD234" s="374">
        <f>AC234*Indeksacja!AD$61</f>
        <v>1580.8662290585869</v>
      </c>
      <c r="AE234" s="374">
        <f>AD234*Indeksacja!AE$61</f>
        <v>1618.044830435844</v>
      </c>
      <c r="AF234" s="374">
        <f>AE234*Indeksacja!AF$61</f>
        <v>1652.935019985023</v>
      </c>
      <c r="AG234" s="374">
        <f>AF234*Indeksacja!AG$61</f>
        <v>1686.466878856397</v>
      </c>
      <c r="AH234" s="374">
        <f>AG234*Indeksacja!AH$61</f>
        <v>1721.1571161100476</v>
      </c>
      <c r="AI234" s="374">
        <f>AH234*Indeksacja!AI$61</f>
        <v>1756.8489171684143</v>
      </c>
      <c r="AJ234" s="374">
        <f>AI234*Indeksacja!AJ$61</f>
        <v>1790.7403981667023</v>
      </c>
      <c r="AK234" s="374">
        <f>AJ234*Indeksacja!AK$61</f>
        <v>1824.0983421081676</v>
      </c>
      <c r="AL234" s="374">
        <f>AK234*Indeksacja!AL$61</f>
        <v>1856.7472903345515</v>
      </c>
      <c r="AM234" s="374">
        <f>AL234*Indeksacja!AM$61</f>
        <v>1888.6997171356127</v>
      </c>
      <c r="AN234" s="374">
        <f>AM234*Indeksacja!AN$61</f>
        <v>1918.3418764478995</v>
      </c>
      <c r="AO234" s="374">
        <f>AN234*Indeksacja!AO$61</f>
        <v>1945.5122308778632</v>
      </c>
      <c r="AP234" s="374">
        <f>AO234*Indeksacja!AP$61</f>
        <v>1971.6396677291998</v>
      </c>
      <c r="AQ234" s="374">
        <f>AP234*Indeksacja!AQ$61</f>
        <v>1995.06911334438</v>
      </c>
      <c r="AR234" s="374">
        <f>AQ234*Indeksacja!AR$61</f>
        <v>2017.188822195787</v>
      </c>
      <c r="AS234" s="374">
        <f>AR234*Indeksacja!AS$61</f>
        <v>2039.6709835520871</v>
      </c>
      <c r="AT234" s="374">
        <f>AS234*Indeksacja!AT$61</f>
        <v>2062.6431515841823</v>
      </c>
      <c r="AU234" s="374">
        <f>AT234*Indeksacja!AU$61</f>
        <v>2085.9843057137332</v>
      </c>
      <c r="AV234" s="374">
        <f>AU234*Indeksacja!AV$61</f>
        <v>2109.6983703132182</v>
      </c>
      <c r="AW234" s="374">
        <f>AV234*Indeksacja!AW$61</f>
        <v>2133.813753308546</v>
      </c>
      <c r="AX234" s="374">
        <f>AW234*Indeksacja!AX$61</f>
        <v>2156.5226245569083</v>
      </c>
      <c r="AY234" s="374">
        <f>AX234*Indeksacja!AY$61</f>
        <v>2179.6322356758114</v>
      </c>
      <c r="AZ234" s="374">
        <f>AY234*Indeksacja!AZ$61</f>
        <v>2203.1658703818985</v>
      </c>
      <c r="BA234" s="374">
        <f>AZ234*Indeksacja!BA$61</f>
        <v>2227.295120566147</v>
      </c>
      <c r="BB234" s="374">
        <f>BA234*Indeksacja!BB$61</f>
        <v>2253.6899909998301</v>
      </c>
      <c r="BC234" s="374">
        <f>BB234*Indeksacja!BC$61</f>
        <v>2280.6285313489639</v>
      </c>
      <c r="BD234" s="374">
        <f>BC234*Indeksacja!BD$61</f>
        <v>2308.1482782503899</v>
      </c>
      <c r="BE234" s="374">
        <f>BD234*Indeksacja!BE$61</f>
        <v>2336.2595101587608</v>
      </c>
      <c r="BF234" s="374">
        <f>BE234*Indeksacja!BF$61</f>
        <v>2366.8601337970758</v>
      </c>
      <c r="BG234" s="374">
        <f>BF234*Indeksacja!BG$61</f>
        <v>2398.2963578699291</v>
      </c>
      <c r="BH234" s="374">
        <f>BG234*Indeksacja!BH$61</f>
        <v>2430.4322752862877</v>
      </c>
      <c r="BI234" s="374">
        <f>BH234*Indeksacja!BI$61</f>
        <v>2465.1005330804569</v>
      </c>
    </row>
    <row r="235" spans="1:61">
      <c r="A235" s="6" t="str">
        <v>65-69 dB</v>
      </c>
      <c r="B235" s="481"/>
      <c r="C235" s="377"/>
      <c r="D235" s="377"/>
      <c r="E235" s="377"/>
      <c r="F235" s="377"/>
      <c r="G235" s="377"/>
      <c r="H235" s="377"/>
      <c r="I235" s="377"/>
      <c r="J235" s="377"/>
      <c r="K235" s="377"/>
      <c r="L235" s="377"/>
      <c r="M235" s="377"/>
      <c r="N235" s="377"/>
      <c r="O235" s="377"/>
      <c r="P235" s="413"/>
      <c r="Q235" s="482">
        <v>1293.7431055440991</v>
      </c>
      <c r="R235" s="483">
        <f>Q235*Indeksacja!R$61</f>
        <v>1373.4575402143057</v>
      </c>
      <c r="S235" s="374">
        <f>R235*Indeksacja!S$61</f>
        <v>1461.3358731778742</v>
      </c>
      <c r="T235" s="374">
        <f>S235*Indeksacja!T$61</f>
        <v>1548.8046370102063</v>
      </c>
      <c r="U235" s="374">
        <f>T235*Indeksacja!U$61</f>
        <v>1575.6427875160657</v>
      </c>
      <c r="V235" s="374">
        <f>U235*Indeksacja!V$61</f>
        <v>1747.8480262664536</v>
      </c>
      <c r="W235" s="374">
        <f>V235*Indeksacja!W$61</f>
        <v>2089.4528427959185</v>
      </c>
      <c r="X235" s="374">
        <f>W235*Indeksacja!X$61</f>
        <v>2331.3875517078181</v>
      </c>
      <c r="Y235" s="374">
        <f>X235*Indeksacja!Y$61</f>
        <v>2395.2889616207426</v>
      </c>
      <c r="Z235" s="374">
        <f>Y235*Indeksacja!Z$61</f>
        <v>2472.5555597212669</v>
      </c>
      <c r="AA235" s="374">
        <f>Z235*Indeksacja!AA$61</f>
        <v>2546.5773118721945</v>
      </c>
      <c r="AB235" s="374">
        <f>AA235*Indeksacja!AB$61</f>
        <v>2609.6115171503557</v>
      </c>
      <c r="AC235" s="374">
        <f>AB235*Indeksacja!AC$61</f>
        <v>2674.4326122577445</v>
      </c>
      <c r="AD235" s="374">
        <f>AC235*Indeksacja!AD$61</f>
        <v>2739.1185305039025</v>
      </c>
      <c r="AE235" s="374">
        <f>AD235*Indeksacja!AE$61</f>
        <v>2803.5367552080302</v>
      </c>
      <c r="AF235" s="374">
        <f>AE235*Indeksacja!AF$61</f>
        <v>2863.9899187776391</v>
      </c>
      <c r="AG235" s="374">
        <f>AF235*Indeksacja!AG$61</f>
        <v>2922.0895443553945</v>
      </c>
      <c r="AH235" s="374">
        <f>AG235*Indeksacja!AH$61</f>
        <v>2982.1962567023565</v>
      </c>
      <c r="AI235" s="374">
        <f>AH235*Indeksacja!AI$61</f>
        <v>3044.0383479995121</v>
      </c>
      <c r="AJ235" s="374">
        <f>AI235*Indeksacja!AJ$61</f>
        <v>3102.7610798298415</v>
      </c>
      <c r="AK235" s="374">
        <f>AJ235*Indeksacja!AK$61</f>
        <v>3160.5593683314496</v>
      </c>
      <c r="AL235" s="374">
        <f>AK235*Indeksacja!AL$61</f>
        <v>3217.1292016573257</v>
      </c>
      <c r="AM235" s="374">
        <f>AL235*Indeksacja!AM$61</f>
        <v>3272.4921936275414</v>
      </c>
      <c r="AN235" s="374">
        <f>AM235*Indeksacja!AN$61</f>
        <v>3323.8522558288728</v>
      </c>
      <c r="AO235" s="374">
        <f>AN235*Indeksacja!AO$61</f>
        <v>3370.9294973635924</v>
      </c>
      <c r="AP235" s="374">
        <f>AO235*Indeksacja!AP$61</f>
        <v>3416.1997075297522</v>
      </c>
      <c r="AQ235" s="374">
        <f>AP235*Indeksacja!AQ$61</f>
        <v>3456.7951908567575</v>
      </c>
      <c r="AR235" s="374">
        <f>AQ235*Indeksacja!AR$61</f>
        <v>3495.1213333794685</v>
      </c>
      <c r="AS235" s="374">
        <f>AR235*Indeksacja!AS$61</f>
        <v>3534.0754862640506</v>
      </c>
      <c r="AT235" s="374">
        <f>AS235*Indeksacja!AT$61</f>
        <v>3573.8786587184541</v>
      </c>
      <c r="AU235" s="374">
        <f>AT235*Indeksacja!AU$61</f>
        <v>3614.3211620905913</v>
      </c>
      <c r="AV235" s="374">
        <f>AU235*Indeksacja!AV$61</f>
        <v>3655.4097960205459</v>
      </c>
      <c r="AW235" s="374">
        <f>AV235*Indeksacja!AW$61</f>
        <v>3697.1937820520757</v>
      </c>
      <c r="AX235" s="374">
        <f>AW235*Indeksacja!AX$61</f>
        <v>3736.5407482278656</v>
      </c>
      <c r="AY235" s="374">
        <f>AX235*Indeksacja!AY$61</f>
        <v>3776.5820641121463</v>
      </c>
      <c r="AZ235" s="374">
        <f>AY235*Indeksacja!AZ$61</f>
        <v>3817.358072688115</v>
      </c>
      <c r="BA235" s="374">
        <f>AZ235*Indeksacja!BA$61</f>
        <v>3859.1660859734634</v>
      </c>
      <c r="BB235" s="374">
        <f>BA235*Indeksacja!BB$61</f>
        <v>3904.8996701225819</v>
      </c>
      <c r="BC235" s="374">
        <f>BB235*Indeksacja!BC$61</f>
        <v>3951.5752544944362</v>
      </c>
      <c r="BD235" s="374">
        <f>BC235*Indeksacja!BD$61</f>
        <v>3999.2578776708215</v>
      </c>
      <c r="BE235" s="374">
        <f>BD235*Indeksacja!BE$61</f>
        <v>4047.9653488155272</v>
      </c>
      <c r="BF235" s="374">
        <f>BE235*Indeksacja!BF$61</f>
        <v>4100.986112819448</v>
      </c>
      <c r="BG235" s="374">
        <f>BF235*Indeksacja!BG$61</f>
        <v>4155.4546961215929</v>
      </c>
      <c r="BH235" s="374">
        <f>BG235*Indeksacja!BH$61</f>
        <v>4211.1356166649521</v>
      </c>
      <c r="BI235" s="374">
        <f>BH235*Indeksacja!BI$61</f>
        <v>4271.2042458751821</v>
      </c>
    </row>
    <row r="236" spans="1:61">
      <c r="A236" s="6" t="str">
        <v>70-74 dB</v>
      </c>
      <c r="B236" s="481"/>
      <c r="C236" s="377"/>
      <c r="D236" s="377"/>
      <c r="E236" s="377"/>
      <c r="F236" s="377"/>
      <c r="G236" s="377"/>
      <c r="H236" s="377"/>
      <c r="I236" s="377"/>
      <c r="J236" s="377"/>
      <c r="K236" s="377"/>
      <c r="L236" s="377"/>
      <c r="M236" s="377"/>
      <c r="N236" s="377"/>
      <c r="O236" s="377"/>
      <c r="P236" s="413"/>
      <c r="Q236" s="482">
        <v>2083.9480895488177</v>
      </c>
      <c r="R236" s="483">
        <f>Q236*Indeksacja!R$61</f>
        <v>2212.3512811318774</v>
      </c>
      <c r="S236" s="374">
        <f>R236*Indeksacja!S$61</f>
        <v>2353.9047961283063</v>
      </c>
      <c r="T236" s="374">
        <f>S236*Indeksacja!T$61</f>
        <v>2494.7985813801515</v>
      </c>
      <c r="U236" s="374">
        <f>T236*Indeksacja!U$61</f>
        <v>2538.029198211294</v>
      </c>
      <c r="V236" s="374">
        <f>U236*Indeksacja!V$61</f>
        <v>2815.4156258307426</v>
      </c>
      <c r="W236" s="374">
        <f>V236*Indeksacja!W$61</f>
        <v>3365.6691512304856</v>
      </c>
      <c r="X236" s="374">
        <f>W236*Indeksacja!X$61</f>
        <v>3755.3750922878212</v>
      </c>
      <c r="Y236" s="374">
        <f>X236*Indeksacja!Y$61</f>
        <v>3858.3068262130887</v>
      </c>
      <c r="Z236" s="374">
        <f>Y236*Indeksacja!Z$61</f>
        <v>3982.7670678232689</v>
      </c>
      <c r="AA236" s="374">
        <f>Z236*Indeksacja!AA$61</f>
        <v>4102.000544947854</v>
      </c>
      <c r="AB236" s="374">
        <f>AA236*Indeksacja!AB$61</f>
        <v>4203.5353945657826</v>
      </c>
      <c r="AC236" s="374">
        <f>AB236*Indeksacja!AC$61</f>
        <v>4307.9485479442455</v>
      </c>
      <c r="AD236" s="374">
        <f>AC236*Indeksacja!AD$61</f>
        <v>4412.1439598247971</v>
      </c>
      <c r="AE236" s="374">
        <f>AD236*Indeksacja!AE$61</f>
        <v>4515.9081737008082</v>
      </c>
      <c r="AF236" s="374">
        <f>AE236*Indeksacja!AF$61</f>
        <v>4613.2855078780485</v>
      </c>
      <c r="AG236" s="374">
        <f>AF236*Indeksacja!AG$61</f>
        <v>4706.8717872618099</v>
      </c>
      <c r="AH236" s="374">
        <f>AG236*Indeksacja!AH$61</f>
        <v>4803.6910613725167</v>
      </c>
      <c r="AI236" s="374">
        <f>AH236*Indeksacja!AI$61</f>
        <v>4903.3056660495486</v>
      </c>
      <c r="AJ236" s="374">
        <f>AI236*Indeksacja!AJ$61</f>
        <v>4997.8956385769279</v>
      </c>
      <c r="AK236" s="374">
        <f>AJ236*Indeksacja!AK$61</f>
        <v>5090.9965272973841</v>
      </c>
      <c r="AL236" s="374">
        <f>AK236*Indeksacja!AL$61</f>
        <v>5182.1186330542105</v>
      </c>
      <c r="AM236" s="374">
        <f>AL236*Indeksacja!AM$61</f>
        <v>5271.2967711665033</v>
      </c>
      <c r="AN236" s="374">
        <f>AM236*Indeksacja!AN$61</f>
        <v>5354.0270311732302</v>
      </c>
      <c r="AO236" s="374">
        <f>AN236*Indeksacja!AO$61</f>
        <v>5429.8585676947305</v>
      </c>
      <c r="AP236" s="374">
        <f>AO236*Indeksacja!AP$61</f>
        <v>5502.7793566712762</v>
      </c>
      <c r="AQ236" s="374">
        <f>AP236*Indeksacja!AQ$61</f>
        <v>5568.1701437302299</v>
      </c>
      <c r="AR236" s="374">
        <f>AQ236*Indeksacja!AR$61</f>
        <v>5629.9054999595401</v>
      </c>
      <c r="AS236" s="374">
        <f>AR236*Indeksacja!AS$61</f>
        <v>5692.6524488212899</v>
      </c>
      <c r="AT236" s="374">
        <f>AS236*Indeksacja!AT$61</f>
        <v>5756.7669896747857</v>
      </c>
      <c r="AU236" s="374">
        <f>AT236*Indeksacja!AU$61</f>
        <v>5821.9113581956854</v>
      </c>
      <c r="AV236" s="374">
        <f>AU236*Indeksacja!AV$61</f>
        <v>5888.0965071743058</v>
      </c>
      <c r="AW236" s="374">
        <f>AV236*Indeksacja!AW$61</f>
        <v>5955.4017221671393</v>
      </c>
      <c r="AX236" s="374">
        <f>AW236*Indeksacja!AX$61</f>
        <v>6018.7814106386732</v>
      </c>
      <c r="AY236" s="374">
        <f>AX236*Indeksacja!AY$61</f>
        <v>6083.2795504799469</v>
      </c>
      <c r="AZ236" s="374">
        <f>AY236*Indeksacja!AZ$61</f>
        <v>6148.9611257534089</v>
      </c>
      <c r="BA236" s="374">
        <f>AZ236*Indeksacja!BA$61</f>
        <v>6216.3050435995965</v>
      </c>
      <c r="BB236" s="374">
        <f>BA236*Indeksacja!BB$61</f>
        <v>6289.9722306225513</v>
      </c>
      <c r="BC236" s="374">
        <f>BB236*Indeksacja!BC$61</f>
        <v>6365.1567819167531</v>
      </c>
      <c r="BD236" s="374">
        <f>BC236*Indeksacja!BD$61</f>
        <v>6441.9634609609011</v>
      </c>
      <c r="BE236" s="374">
        <f>BD236*Indeksacja!BE$61</f>
        <v>6520.4209545728772</v>
      </c>
      <c r="BF236" s="374">
        <f>BE236*Indeksacja!BF$61</f>
        <v>6605.8262559645482</v>
      </c>
      <c r="BG236" s="374">
        <f>BF236*Indeksacja!BG$61</f>
        <v>6693.5636897924169</v>
      </c>
      <c r="BH236" s="374">
        <f>BG236*Indeksacja!BH$61</f>
        <v>6783.2539439807497</v>
      </c>
      <c r="BI236" s="374">
        <f>BH236*Indeksacja!BI$61</f>
        <v>6880.0118741664564</v>
      </c>
    </row>
    <row r="237" spans="1:61">
      <c r="A237" s="6" t="str">
        <v>&gt; 75 dB</v>
      </c>
      <c r="B237" s="481"/>
      <c r="C237" s="377"/>
      <c r="D237" s="377"/>
      <c r="E237" s="377"/>
      <c r="F237" s="377"/>
      <c r="G237" s="377"/>
      <c r="H237" s="377"/>
      <c r="I237" s="377"/>
      <c r="J237" s="377"/>
      <c r="K237" s="377"/>
      <c r="L237" s="377"/>
      <c r="M237" s="377"/>
      <c r="N237" s="377"/>
      <c r="O237" s="377"/>
      <c r="P237" s="413"/>
      <c r="Q237" s="482">
        <v>2650.2808276872584</v>
      </c>
      <c r="R237" s="483">
        <f>Q237*Indeksacja!R$61</f>
        <v>2813.5788093275369</v>
      </c>
      <c r="S237" s="374">
        <f>R237*Indeksacja!S$61</f>
        <v>2993.6008399952966</v>
      </c>
      <c r="T237" s="374">
        <f>S237*Indeksacja!T$61</f>
        <v>3172.7838530779759</v>
      </c>
      <c r="U237" s="374">
        <f>T237*Indeksacja!U$61</f>
        <v>3227.762801704991</v>
      </c>
      <c r="V237" s="374">
        <f>U237*Indeksacja!V$61</f>
        <v>3580.5316324965711</v>
      </c>
      <c r="W237" s="374">
        <f>V237*Indeksacja!W$61</f>
        <v>4280.3217933205842</v>
      </c>
      <c r="X237" s="374">
        <f>W237*Indeksacja!X$61</f>
        <v>4775.9340349113472</v>
      </c>
      <c r="Y237" s="374">
        <f>X237*Indeksacja!Y$61</f>
        <v>4906.8384477183881</v>
      </c>
      <c r="Z237" s="374">
        <f>Y237*Indeksacja!Z$61</f>
        <v>5065.1219451831448</v>
      </c>
      <c r="AA237" s="374">
        <f>Z237*Indeksacja!AA$61</f>
        <v>5216.7582551404575</v>
      </c>
      <c r="AB237" s="374">
        <f>AA237*Indeksacja!AB$61</f>
        <v>5345.8861670275355</v>
      </c>
      <c r="AC237" s="374">
        <f>AB237*Indeksacja!AC$61</f>
        <v>5478.6745891312848</v>
      </c>
      <c r="AD237" s="374">
        <f>AC237*Indeksacja!AD$61</f>
        <v>5611.1860964115795</v>
      </c>
      <c r="AE237" s="374">
        <f>AD237*Indeksacja!AE$61</f>
        <v>5743.1492235234318</v>
      </c>
      <c r="AF237" s="374">
        <f>AE237*Indeksacja!AF$61</f>
        <v>5866.9897755580605</v>
      </c>
      <c r="AG237" s="374">
        <f>AF237*Indeksacja!AG$61</f>
        <v>5986.0090175580208</v>
      </c>
      <c r="AH237" s="374">
        <f>AG237*Indeksacja!AH$61</f>
        <v>6109.1398513887998</v>
      </c>
      <c r="AI237" s="374">
        <f>AH237*Indeksacja!AI$61</f>
        <v>6235.8256734863844</v>
      </c>
      <c r="AJ237" s="374">
        <f>AI237*Indeksacja!AJ$61</f>
        <v>6356.1213717996052</v>
      </c>
      <c r="AK237" s="374">
        <f>AJ237*Indeksacja!AK$61</f>
        <v>6474.5233136012794</v>
      </c>
      <c r="AL237" s="374">
        <f>AK237*Indeksacja!AL$61</f>
        <v>6590.40871932561</v>
      </c>
      <c r="AM237" s="374">
        <f>AL237*Indeksacja!AM$61</f>
        <v>6703.8218656861918</v>
      </c>
      <c r="AN237" s="374">
        <f>AM237*Indeksacja!AN$61</f>
        <v>6809.0348616648389</v>
      </c>
      <c r="AO237" s="374">
        <f>AN237*Indeksacja!AO$61</f>
        <v>6905.4743403567054</v>
      </c>
      <c r="AP237" s="374">
        <f>AO237*Indeksacja!AP$61</f>
        <v>6998.2120481401116</v>
      </c>
      <c r="AQ237" s="374">
        <f>AP237*Indeksacja!AQ$61</f>
        <v>7081.3734042789038</v>
      </c>
      <c r="AR237" s="374">
        <f>AQ237*Indeksacja!AR$61</f>
        <v>7159.8859314505416</v>
      </c>
      <c r="AS237" s="374">
        <f>AR237*Indeksacja!AS$61</f>
        <v>7239.6849611855732</v>
      </c>
      <c r="AT237" s="374">
        <f>AS237*Indeksacja!AT$61</f>
        <v>7321.2232390592708</v>
      </c>
      <c r="AU237" s="374">
        <f>AT237*Indeksacja!AU$61</f>
        <v>7404.0712100757237</v>
      </c>
      <c r="AV237" s="374">
        <f>AU237*Indeksacja!AV$61</f>
        <v>7488.242803550319</v>
      </c>
      <c r="AW237" s="374">
        <f>AV237*Indeksacja!AW$61</f>
        <v>7573.8388516445366</v>
      </c>
      <c r="AX237" s="374">
        <f>AW237*Indeksacja!AX$61</f>
        <v>7654.4425740036977</v>
      </c>
      <c r="AY237" s="374">
        <f>AX237*Indeksacja!AY$61</f>
        <v>7736.4686975429977</v>
      </c>
      <c r="AZ237" s="374">
        <f>AY237*Indeksacja!AZ$61</f>
        <v>7819.9998663626784</v>
      </c>
      <c r="BA237" s="374">
        <f>AZ237*Indeksacja!BA$61</f>
        <v>7905.6451351792057</v>
      </c>
      <c r="BB237" s="374">
        <f>BA237*Indeksacja!BB$61</f>
        <v>7999.3320817858548</v>
      </c>
      <c r="BC237" s="374">
        <f>BB237*Indeksacja!BC$61</f>
        <v>8094.9487508538605</v>
      </c>
      <c r="BD237" s="374">
        <f>BC237*Indeksacja!BD$61</f>
        <v>8192.6283763348893</v>
      </c>
      <c r="BE237" s="374">
        <f>BD237*Indeksacja!BE$61</f>
        <v>8292.4074409627574</v>
      </c>
      <c r="BF237" s="374">
        <f>BE237*Indeksacja!BF$61</f>
        <v>8401.0224462963124</v>
      </c>
      <c r="BG237" s="374">
        <f>BF237*Indeksacja!BG$61</f>
        <v>8512.60336326379</v>
      </c>
      <c r="BH237" s="374">
        <f>BG237*Indeksacja!BH$61</f>
        <v>8626.6677981208013</v>
      </c>
      <c r="BI237" s="374">
        <f>BH237*Indeksacja!BI$61</f>
        <v>8749.7206172308015</v>
      </c>
    </row>
    <row r="238" spans="1:61"/>
    <row r="239" spans="1:61" hidden="1"/>
    <row r="240" spans="1:61" hidden="1"/>
    <row r="241" hidden="1"/>
    <row r="242" hidden="1"/>
    <row r="243" hidden="1"/>
    <row r="244" hidden="1"/>
    <row r="245" hidden="1"/>
    <row r="246" hidden="1"/>
    <row r="247" hidden="1"/>
    <row r="248" hidden="1"/>
    <row r="249" hidden="1"/>
    <row r="250" hidden="1"/>
    <row r="251" hidden="1"/>
    <row r="252" hidden="1"/>
    <row r="253" hidden="1"/>
    <row r="254" hidden="1"/>
    <row r="255" hidden="1"/>
  </sheetData>
  <mergeCells count="86">
    <mergeCell ref="A222:A223"/>
    <mergeCell ref="B33:B34"/>
    <mergeCell ref="B35:B36"/>
    <mergeCell ref="B37:B38"/>
    <mergeCell ref="A23:A26"/>
    <mergeCell ref="A27:A30"/>
    <mergeCell ref="A31:A34"/>
    <mergeCell ref="A35:A38"/>
    <mergeCell ref="B23:B24"/>
    <mergeCell ref="B25:B26"/>
    <mergeCell ref="B27:B28"/>
    <mergeCell ref="B29:B30"/>
    <mergeCell ref="B31:B32"/>
    <mergeCell ref="A39:A42"/>
    <mergeCell ref="B39:B40"/>
    <mergeCell ref="B41:B42"/>
    <mergeCell ref="A71:A74"/>
    <mergeCell ref="B71:B72"/>
    <mergeCell ref="B73:B74"/>
    <mergeCell ref="B53:B54"/>
    <mergeCell ref="B55:B56"/>
    <mergeCell ref="A59:A62"/>
    <mergeCell ref="B59:B60"/>
    <mergeCell ref="B61:B62"/>
    <mergeCell ref="A63:A66"/>
    <mergeCell ref="B63:B64"/>
    <mergeCell ref="B65:B66"/>
    <mergeCell ref="A49:A52"/>
    <mergeCell ref="A53:A56"/>
    <mergeCell ref="T35:T38"/>
    <mergeCell ref="T53:T56"/>
    <mergeCell ref="T49:T52"/>
    <mergeCell ref="T45:T48"/>
    <mergeCell ref="B45:B46"/>
    <mergeCell ref="B47:B48"/>
    <mergeCell ref="A45:A48"/>
    <mergeCell ref="B49:B50"/>
    <mergeCell ref="B51:B52"/>
    <mergeCell ref="T81:T84"/>
    <mergeCell ref="T77:T80"/>
    <mergeCell ref="T71:T74"/>
    <mergeCell ref="T67:T70"/>
    <mergeCell ref="T63:T66"/>
    <mergeCell ref="T59:T62"/>
    <mergeCell ref="T27:T30"/>
    <mergeCell ref="T23:T26"/>
    <mergeCell ref="Q19:S19"/>
    <mergeCell ref="U19:W19"/>
    <mergeCell ref="T31:T34"/>
    <mergeCell ref="A150:A152"/>
    <mergeCell ref="T39:T42"/>
    <mergeCell ref="A115:A117"/>
    <mergeCell ref="A118:A120"/>
    <mergeCell ref="A121:A123"/>
    <mergeCell ref="A124:A126"/>
    <mergeCell ref="A127:A129"/>
    <mergeCell ref="A77:A80"/>
    <mergeCell ref="B77:B78"/>
    <mergeCell ref="B79:B80"/>
    <mergeCell ref="A81:A84"/>
    <mergeCell ref="B81:B82"/>
    <mergeCell ref="B83:B84"/>
    <mergeCell ref="A67:A70"/>
    <mergeCell ref="B67:B68"/>
    <mergeCell ref="B69:B70"/>
    <mergeCell ref="A131:A133"/>
    <mergeCell ref="A134:A136"/>
    <mergeCell ref="A141:A143"/>
    <mergeCell ref="A144:A146"/>
    <mergeCell ref="A147:A149"/>
    <mergeCell ref="A231:A232"/>
    <mergeCell ref="A108:V109"/>
    <mergeCell ref="A6:V7"/>
    <mergeCell ref="A137:V138"/>
    <mergeCell ref="A86:V87"/>
    <mergeCell ref="A93:V96"/>
    <mergeCell ref="A175:A177"/>
    <mergeCell ref="A178:A180"/>
    <mergeCell ref="A182:A184"/>
    <mergeCell ref="A185:A187"/>
    <mergeCell ref="A153:A155"/>
    <mergeCell ref="A157:A159"/>
    <mergeCell ref="A160:A162"/>
    <mergeCell ref="A166:A168"/>
    <mergeCell ref="A169:A171"/>
    <mergeCell ref="A172:A174"/>
  </mergeCells>
  <hyperlinks>
    <hyperlink ref="A110" location="Indeksacja!A29" display="Nota metodologiczna"/>
  </hyperlinks>
  <pageMargins left="0.7" right="0.7" top="0.75" bottom="0.7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54"/>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0" defaultRowHeight="15" zeroHeight="1" outlineLevelRow="1" outlineLevelCol="1"/>
  <cols>
    <col min="1" max="1" width="29.28515625" customWidth="1"/>
    <col min="2" max="2" width="10.28515625" customWidth="1"/>
    <col min="3" max="15" width="1.7109375" hidden="1" customWidth="1" outlineLevel="1"/>
    <col min="16" max="16" width="13.7109375" customWidth="1" collapsed="1"/>
    <col min="17" max="18" width="13.7109375" customWidth="1"/>
    <col min="19" max="19" width="14.7109375" customWidth="1"/>
    <col min="20" max="61" width="10" bestFit="1" customWidth="1"/>
    <col min="62" max="62" width="9.140625" customWidth="1"/>
    <col min="63" max="16384" width="9.140625" hidden="1"/>
  </cols>
  <sheetData>
    <row r="1" spans="1:61" ht="21">
      <c r="A1" s="4" t="s">
        <v>158</v>
      </c>
      <c r="B1" s="5"/>
      <c r="C1" s="88"/>
      <c r="D1" s="88"/>
      <c r="E1" s="88"/>
      <c r="F1" s="88"/>
      <c r="G1" s="88"/>
      <c r="H1" s="88"/>
      <c r="I1" s="88"/>
      <c r="J1" s="88"/>
      <c r="K1" s="88"/>
      <c r="L1" s="5"/>
      <c r="M1" s="88"/>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row>
    <row r="2" spans="1:61">
      <c r="A2" s="350" t="str">
        <f>Indeksacja!$A$2</f>
        <v>Dla roku bazowego 2024 właściwe do zastosowania w analizie są wartości kosztów jednostkowych określone według poziomu cenowego z końca roku poprzedniego, tzn. 2023.</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0"/>
      <c r="BC2" s="350"/>
      <c r="BD2" s="350"/>
      <c r="BE2" s="350"/>
      <c r="BF2" s="350"/>
      <c r="BG2" s="350"/>
      <c r="BH2" s="350"/>
      <c r="BI2" s="350"/>
    </row>
    <row r="3" spans="1:61"/>
    <row r="4" spans="1:61">
      <c r="A4" s="187" t="str">
        <f>'VOC eksploatacja samochody'!$A$4</f>
        <v>Prognoza zmian struktury floty pojazdów drogowych w Polsce pod względem rodzaju paliwa</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0"/>
      <c r="AW4" s="350"/>
      <c r="AX4" s="350"/>
      <c r="AY4" s="350"/>
      <c r="AZ4" s="350"/>
      <c r="BA4" s="350"/>
      <c r="BB4" s="350"/>
      <c r="BC4" s="350"/>
      <c r="BD4" s="350"/>
      <c r="BE4" s="350"/>
      <c r="BF4" s="350"/>
      <c r="BG4" s="350"/>
      <c r="BH4" s="350"/>
      <c r="BI4" s="350"/>
    </row>
    <row r="5" spans="1:61">
      <c r="A5" s="350" t="str">
        <f>'Hałas-zdezagr.krańc'!$A$5</f>
        <v xml:space="preserve">W zakresie zmian struktury floty pojazdów drogowych należy przyjąć takie same założenia, jak dla kosztów eksploatacji samochodów (VOC). </v>
      </c>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50"/>
      <c r="AT5" s="350"/>
      <c r="AU5" s="350"/>
      <c r="AV5" s="350"/>
      <c r="AW5" s="350"/>
      <c r="AX5" s="350"/>
      <c r="AY5" s="350"/>
      <c r="AZ5" s="350"/>
      <c r="BA5" s="350"/>
      <c r="BB5" s="350"/>
      <c r="BC5" s="350"/>
      <c r="BD5" s="350"/>
      <c r="BE5" s="350"/>
      <c r="BF5" s="350"/>
      <c r="BG5" s="350"/>
      <c r="BH5" s="350"/>
      <c r="BI5" s="350"/>
    </row>
    <row r="6" spans="1:61">
      <c r="A6" s="754" t="str">
        <f>'Hałas-zdezagr.krańc'!$A$6</f>
        <v xml:space="preserve">Należy przyjąć, że w transporcie drogowym koszty hałasu dotyczą wyłącznie samochodów spalinowych LV, HGV (odpowiedni udział %) i nie dotyczą samochodów elektrycznych, gdyż poziom hałasu emitowanego przez samochody elektryczne jest nieistotny. </v>
      </c>
      <c r="B6" s="754"/>
      <c r="C6" s="754"/>
      <c r="D6" s="754"/>
      <c r="E6" s="754"/>
      <c r="F6" s="754"/>
      <c r="G6" s="754"/>
      <c r="H6" s="754"/>
      <c r="I6" s="754"/>
      <c r="J6" s="754"/>
      <c r="K6" s="754"/>
      <c r="L6" s="754"/>
      <c r="M6" s="754"/>
      <c r="N6" s="754"/>
      <c r="O6" s="754"/>
      <c r="P6" s="754"/>
      <c r="Q6" s="754"/>
      <c r="R6" s="754"/>
      <c r="S6" s="754"/>
      <c r="T6" s="754"/>
      <c r="U6" s="754"/>
      <c r="V6" s="754"/>
      <c r="W6" s="350"/>
      <c r="X6" s="350"/>
      <c r="Y6" s="350"/>
      <c r="Z6" s="350"/>
      <c r="AA6" s="350"/>
      <c r="AB6" s="350"/>
      <c r="AC6" s="350"/>
      <c r="AD6" s="350"/>
      <c r="AE6" s="350"/>
      <c r="AF6" s="350"/>
      <c r="AG6" s="350"/>
      <c r="AH6" s="350"/>
      <c r="AI6" s="350"/>
      <c r="AJ6" s="350"/>
      <c r="AK6" s="350"/>
      <c r="AL6" s="350"/>
      <c r="AM6" s="350"/>
      <c r="AN6" s="350"/>
      <c r="AO6" s="350"/>
      <c r="AP6" s="350"/>
      <c r="AQ6" s="350"/>
      <c r="AR6" s="350"/>
      <c r="AS6" s="350"/>
      <c r="AT6" s="350"/>
      <c r="AU6" s="350"/>
      <c r="AV6" s="350"/>
      <c r="AW6" s="350"/>
      <c r="AX6" s="350"/>
      <c r="AY6" s="350"/>
      <c r="AZ6" s="350"/>
      <c r="BA6" s="350"/>
      <c r="BB6" s="350"/>
      <c r="BC6" s="350"/>
      <c r="BD6" s="350"/>
      <c r="BE6" s="350"/>
      <c r="BF6" s="350"/>
      <c r="BG6" s="350"/>
      <c r="BH6" s="350"/>
      <c r="BI6" s="350"/>
    </row>
    <row r="7" spans="1:61" s="672" customFormat="1">
      <c r="A7" s="754"/>
      <c r="B7" s="754"/>
      <c r="C7" s="754"/>
      <c r="D7" s="754"/>
      <c r="E7" s="754"/>
      <c r="F7" s="754"/>
      <c r="G7" s="754"/>
      <c r="H7" s="754"/>
      <c r="I7" s="754"/>
      <c r="J7" s="754"/>
      <c r="K7" s="754"/>
      <c r="L7" s="754"/>
      <c r="M7" s="754"/>
      <c r="N7" s="754"/>
      <c r="O7" s="754"/>
      <c r="P7" s="754"/>
      <c r="Q7" s="754"/>
      <c r="R7" s="754"/>
      <c r="S7" s="754"/>
      <c r="T7" s="754"/>
      <c r="U7" s="754"/>
      <c r="V7" s="754"/>
    </row>
    <row r="8" spans="1:61">
      <c r="A8" s="350"/>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0"/>
      <c r="AZ8" s="350"/>
      <c r="BA8" s="350"/>
      <c r="BB8" s="350"/>
      <c r="BC8" s="350"/>
      <c r="BD8" s="350"/>
      <c r="BE8" s="350"/>
      <c r="BF8" s="350"/>
      <c r="BG8" s="350"/>
      <c r="BH8" s="350"/>
      <c r="BI8" s="350"/>
    </row>
    <row r="9" spans="1:61" hidden="1" outlineLevel="1">
      <c r="A9" s="1" t="s">
        <v>205</v>
      </c>
      <c r="B9" s="350"/>
      <c r="C9" s="350"/>
      <c r="D9" s="350"/>
      <c r="E9" s="350"/>
      <c r="F9" s="350"/>
      <c r="G9" s="350"/>
      <c r="H9" s="350"/>
      <c r="I9" s="350"/>
      <c r="J9" s="350"/>
      <c r="K9" s="350"/>
      <c r="L9" s="350"/>
      <c r="M9" s="350"/>
      <c r="N9" s="350"/>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350"/>
      <c r="AN9" s="350"/>
      <c r="AO9" s="350"/>
      <c r="AP9" s="350"/>
      <c r="AQ9" s="350"/>
      <c r="AR9" s="350"/>
      <c r="AS9" s="350"/>
      <c r="AT9" s="350"/>
      <c r="AU9" s="350"/>
      <c r="AV9" s="350"/>
      <c r="AW9" s="350"/>
      <c r="AX9" s="350"/>
      <c r="AY9" s="350"/>
      <c r="AZ9" s="350"/>
      <c r="BA9" s="350"/>
      <c r="BB9" s="350"/>
      <c r="BC9" s="350"/>
      <c r="BD9" s="350"/>
      <c r="BE9" s="350"/>
      <c r="BF9" s="350"/>
      <c r="BG9" s="350"/>
      <c r="BH9" s="350"/>
      <c r="BI9" s="350"/>
    </row>
    <row r="10" spans="1:61" hidden="1" outlineLevel="1">
      <c r="A10" s="838"/>
      <c r="B10" s="840" t="s">
        <v>173</v>
      </c>
      <c r="C10" s="223"/>
      <c r="D10" s="223"/>
      <c r="E10" s="223"/>
      <c r="F10" s="223"/>
      <c r="G10" s="223"/>
      <c r="H10" s="223"/>
      <c r="I10" s="223"/>
      <c r="J10" s="223"/>
      <c r="K10" s="223"/>
      <c r="L10" s="223"/>
      <c r="M10" s="223"/>
      <c r="N10" s="223"/>
      <c r="O10" s="223"/>
      <c r="P10" s="223">
        <v>2016</v>
      </c>
      <c r="Q10" s="223">
        <v>2016</v>
      </c>
      <c r="R10" s="350"/>
      <c r="S10" s="350"/>
      <c r="T10" s="350"/>
      <c r="U10" s="350"/>
      <c r="V10" s="350"/>
      <c r="W10" s="350"/>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0"/>
      <c r="AT10" s="350"/>
      <c r="AU10" s="350"/>
      <c r="AV10" s="350"/>
      <c r="AW10" s="350"/>
      <c r="AX10" s="350"/>
      <c r="AY10" s="350"/>
      <c r="AZ10" s="350"/>
      <c r="BA10" s="350"/>
      <c r="BB10" s="350"/>
      <c r="BC10" s="350"/>
      <c r="BD10" s="350"/>
      <c r="BE10" s="350"/>
      <c r="BF10" s="350"/>
      <c r="BG10" s="350"/>
      <c r="BH10" s="350"/>
      <c r="BI10" s="350"/>
    </row>
    <row r="11" spans="1:61" hidden="1" outlineLevel="1">
      <c r="A11" s="839"/>
      <c r="B11" s="841"/>
      <c r="C11" s="223"/>
      <c r="D11" s="223"/>
      <c r="E11" s="223"/>
      <c r="F11" s="223"/>
      <c r="G11" s="223"/>
      <c r="H11" s="223"/>
      <c r="I11" s="223"/>
      <c r="J11" s="223"/>
      <c r="K11" s="223"/>
      <c r="L11" s="223"/>
      <c r="M11" s="223"/>
      <c r="N11" s="223"/>
      <c r="O11" s="223"/>
      <c r="P11" s="223" t="s">
        <v>191</v>
      </c>
      <c r="Q11" s="223" t="s">
        <v>62</v>
      </c>
      <c r="R11" s="223" t="s">
        <v>192</v>
      </c>
      <c r="S11" s="350"/>
      <c r="T11" s="350"/>
      <c r="U11" s="350"/>
      <c r="V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0"/>
      <c r="AV11" s="350"/>
      <c r="AW11" s="350"/>
      <c r="AX11" s="350"/>
      <c r="AY11" s="350"/>
      <c r="AZ11" s="350"/>
      <c r="BA11" s="350"/>
      <c r="BB11" s="350"/>
      <c r="BC11" s="350"/>
      <c r="BD11" s="350"/>
      <c r="BE11" s="350"/>
      <c r="BF11" s="350"/>
      <c r="BG11" s="350"/>
      <c r="BH11" s="350"/>
      <c r="BI11" s="350"/>
    </row>
    <row r="12" spans="1:61" hidden="1" outlineLevel="1">
      <c r="A12" s="373" t="s">
        <v>193</v>
      </c>
      <c r="B12" s="354"/>
      <c r="C12" s="223"/>
      <c r="D12" s="223"/>
      <c r="E12" s="223"/>
      <c r="F12" s="223"/>
      <c r="G12" s="223"/>
      <c r="H12" s="223"/>
      <c r="I12" s="223"/>
      <c r="J12" s="223"/>
      <c r="K12" s="223"/>
      <c r="L12" s="223"/>
      <c r="M12" s="223"/>
      <c r="N12" s="223"/>
      <c r="O12" s="223"/>
      <c r="P12" s="223"/>
      <c r="Q12" s="223"/>
      <c r="R12" s="223"/>
      <c r="S12" s="350"/>
      <c r="T12" s="350"/>
      <c r="U12" s="350"/>
      <c r="V12" s="350"/>
      <c r="W12" s="350"/>
      <c r="X12" s="350"/>
      <c r="Y12" s="350"/>
      <c r="Z12" s="350"/>
      <c r="AA12" s="350"/>
      <c r="AB12" s="350"/>
      <c r="AC12" s="350"/>
      <c r="AD12" s="350"/>
      <c r="AE12" s="350"/>
      <c r="AF12" s="350"/>
      <c r="AG12" s="350"/>
      <c r="AH12" s="350"/>
      <c r="AI12" s="350"/>
      <c r="AJ12" s="350"/>
      <c r="AK12" s="350"/>
      <c r="AL12" s="350"/>
      <c r="AM12" s="350"/>
      <c r="AN12" s="350"/>
      <c r="AO12" s="350"/>
      <c r="AP12" s="350"/>
      <c r="AQ12" s="350"/>
      <c r="AR12" s="350"/>
      <c r="AS12" s="350"/>
      <c r="AT12" s="350"/>
      <c r="AU12" s="350"/>
      <c r="AV12" s="350"/>
      <c r="AW12" s="350"/>
      <c r="AX12" s="350"/>
      <c r="AY12" s="350"/>
      <c r="AZ12" s="350"/>
      <c r="BA12" s="350"/>
      <c r="BB12" s="350"/>
      <c r="BC12" s="350"/>
      <c r="BD12" s="350"/>
      <c r="BE12" s="350"/>
      <c r="BF12" s="350"/>
      <c r="BG12" s="350"/>
      <c r="BH12" s="350"/>
      <c r="BI12" s="350"/>
    </row>
    <row r="13" spans="1:61" hidden="1" outlineLevel="1">
      <c r="A13" s="447" t="s">
        <v>71</v>
      </c>
      <c r="B13" s="448"/>
      <c r="C13" s="238"/>
      <c r="D13" s="238"/>
      <c r="E13" s="238"/>
      <c r="F13" s="238"/>
      <c r="G13" s="238"/>
      <c r="H13" s="238"/>
      <c r="I13" s="238"/>
      <c r="J13" s="238"/>
      <c r="K13" s="238"/>
      <c r="L13" s="238"/>
      <c r="M13" s="238"/>
      <c r="N13" s="238"/>
      <c r="O13" s="238"/>
      <c r="P13" s="381">
        <v>0.89265492412315794</v>
      </c>
      <c r="Q13" s="381">
        <v>0.99606817517610602</v>
      </c>
      <c r="R13" s="419">
        <f t="shared" ref="R13:R25" si="0">IFERROR((Q13-P13)/P13,"brak")</f>
        <v>0.11584907925593915</v>
      </c>
      <c r="S13" s="350"/>
      <c r="T13" s="350"/>
      <c r="U13" s="350"/>
      <c r="V13" s="350"/>
      <c r="W13" s="350"/>
      <c r="X13" s="350"/>
      <c r="Y13" s="350"/>
      <c r="Z13" s="350"/>
      <c r="AA13" s="350"/>
      <c r="AB13" s="350"/>
      <c r="AC13" s="350"/>
      <c r="AD13" s="350"/>
      <c r="AE13" s="350"/>
      <c r="AF13" s="350"/>
      <c r="AG13" s="350"/>
      <c r="AH13" s="350"/>
      <c r="AI13" s="350"/>
      <c r="AJ13" s="350"/>
      <c r="AK13" s="350"/>
      <c r="AL13" s="350"/>
      <c r="AM13" s="350"/>
      <c r="AN13" s="350"/>
      <c r="AO13" s="350"/>
      <c r="AP13" s="350"/>
      <c r="AQ13" s="350"/>
      <c r="AR13" s="350"/>
      <c r="AS13" s="350"/>
      <c r="AT13" s="350"/>
      <c r="AU13" s="350"/>
      <c r="AV13" s="350"/>
      <c r="AW13" s="350"/>
      <c r="AX13" s="350"/>
      <c r="AY13" s="350"/>
      <c r="AZ13" s="350"/>
      <c r="BA13" s="350"/>
      <c r="BB13" s="350"/>
      <c r="BC13" s="350"/>
      <c r="BD13" s="350"/>
      <c r="BE13" s="350"/>
      <c r="BF13" s="350"/>
      <c r="BG13" s="350"/>
      <c r="BH13" s="350"/>
      <c r="BI13" s="350"/>
    </row>
    <row r="14" spans="1:61" hidden="1" outlineLevel="1">
      <c r="A14" s="449" t="s">
        <v>76</v>
      </c>
      <c r="B14" s="450"/>
      <c r="C14" s="240"/>
      <c r="D14" s="240"/>
      <c r="E14" s="240"/>
      <c r="F14" s="240"/>
      <c r="G14" s="240"/>
      <c r="H14" s="240"/>
      <c r="I14" s="240"/>
      <c r="J14" s="240"/>
      <c r="K14" s="240"/>
      <c r="L14" s="240"/>
      <c r="M14" s="240"/>
      <c r="N14" s="240"/>
      <c r="O14" s="240"/>
      <c r="P14" s="425">
        <v>0.84815271635216805</v>
      </c>
      <c r="Q14" s="425">
        <v>0.97291829226141602</v>
      </c>
      <c r="R14" s="451">
        <f t="shared" si="0"/>
        <v>0.14710272513876274</v>
      </c>
      <c r="S14" s="350"/>
      <c r="T14" s="350"/>
      <c r="U14" s="350"/>
      <c r="V14" s="350"/>
      <c r="W14" s="350"/>
      <c r="X14" s="350"/>
      <c r="Y14" s="350"/>
      <c r="Z14" s="350"/>
      <c r="AA14" s="350"/>
      <c r="AB14" s="350"/>
      <c r="AC14" s="350"/>
      <c r="AD14" s="350"/>
      <c r="AE14" s="350"/>
      <c r="AF14" s="350"/>
      <c r="AG14" s="350"/>
      <c r="AH14" s="350"/>
      <c r="AI14" s="350"/>
      <c r="AJ14" s="350"/>
      <c r="AK14" s="350"/>
      <c r="AL14" s="350"/>
      <c r="AM14" s="350"/>
      <c r="AN14" s="350"/>
      <c r="AO14" s="350"/>
      <c r="AP14" s="350"/>
      <c r="AQ14" s="350"/>
      <c r="AR14" s="350"/>
      <c r="AS14" s="350"/>
      <c r="AT14" s="350"/>
      <c r="AU14" s="350"/>
      <c r="AV14" s="350"/>
      <c r="AW14" s="350"/>
      <c r="AX14" s="350"/>
      <c r="AY14" s="350"/>
      <c r="AZ14" s="350"/>
      <c r="BA14" s="350"/>
      <c r="BB14" s="350"/>
      <c r="BC14" s="350"/>
      <c r="BD14" s="350"/>
      <c r="BE14" s="350"/>
      <c r="BF14" s="350"/>
      <c r="BG14" s="350"/>
      <c r="BH14" s="350"/>
      <c r="BI14" s="350"/>
    </row>
    <row r="15" spans="1:61" hidden="1" outlineLevel="1">
      <c r="A15" s="452" t="s">
        <v>73</v>
      </c>
      <c r="B15" s="453"/>
      <c r="C15" s="454"/>
      <c r="D15" s="454"/>
      <c r="E15" s="454"/>
      <c r="F15" s="454"/>
      <c r="G15" s="454"/>
      <c r="H15" s="454"/>
      <c r="I15" s="454"/>
      <c r="J15" s="454"/>
      <c r="K15" s="454"/>
      <c r="L15" s="454"/>
      <c r="M15" s="454"/>
      <c r="N15" s="454"/>
      <c r="O15" s="454"/>
      <c r="P15" s="455">
        <v>0.97291829226141602</v>
      </c>
      <c r="Q15" s="455">
        <v>1.03907673613519</v>
      </c>
      <c r="R15" s="456">
        <f t="shared" si="0"/>
        <v>6.799999999999766E-2</v>
      </c>
      <c r="S15" s="350"/>
      <c r="T15" s="350"/>
      <c r="U15" s="350"/>
      <c r="V15" s="350"/>
      <c r="W15" s="350"/>
      <c r="X15" s="350"/>
      <c r="Y15" s="350"/>
      <c r="Z15" s="350"/>
      <c r="AA15" s="350"/>
      <c r="AB15" s="350"/>
      <c r="AC15" s="350"/>
      <c r="AD15" s="350"/>
      <c r="AE15" s="350"/>
      <c r="AF15" s="350"/>
      <c r="AG15" s="350"/>
      <c r="AH15" s="350"/>
      <c r="AI15" s="350"/>
      <c r="AJ15" s="350"/>
      <c r="AK15" s="350"/>
      <c r="AL15" s="350"/>
      <c r="AM15" s="350"/>
      <c r="AN15" s="350"/>
      <c r="AO15" s="350"/>
      <c r="AP15" s="350"/>
      <c r="AQ15" s="350"/>
      <c r="AR15" s="350"/>
      <c r="AS15" s="350"/>
      <c r="AT15" s="350"/>
      <c r="AU15" s="350"/>
      <c r="AV15" s="350"/>
      <c r="AW15" s="350"/>
      <c r="AX15" s="350"/>
      <c r="AY15" s="350"/>
      <c r="AZ15" s="350"/>
      <c r="BA15" s="350"/>
      <c r="BB15" s="350"/>
      <c r="BC15" s="350"/>
      <c r="BD15" s="350"/>
      <c r="BE15" s="350"/>
      <c r="BF15" s="350"/>
      <c r="BG15" s="350"/>
      <c r="BH15" s="350"/>
      <c r="BI15" s="350"/>
    </row>
    <row r="16" spans="1:61" hidden="1" outlineLevel="1">
      <c r="A16" s="447" t="s">
        <v>162</v>
      </c>
      <c r="B16" s="457"/>
      <c r="C16" s="237"/>
      <c r="D16" s="237"/>
      <c r="E16" s="237"/>
      <c r="F16" s="237"/>
      <c r="G16" s="237"/>
      <c r="H16" s="237"/>
      <c r="I16" s="237"/>
      <c r="J16" s="237"/>
      <c r="K16" s="237"/>
      <c r="L16" s="237"/>
      <c r="M16" s="237"/>
      <c r="N16" s="237"/>
      <c r="O16" s="237"/>
      <c r="P16" s="458">
        <f>SUMPRODUCT(P17:P20,P46:P49)</f>
        <v>6.3735627527137932</v>
      </c>
      <c r="Q16" s="458">
        <f>SUMPRODUCT(Q17:Q20,P46:P49)</f>
        <v>7.9103358560659558</v>
      </c>
      <c r="R16" s="419">
        <f t="shared" si="0"/>
        <v>0.24111680750265169</v>
      </c>
      <c r="S16" s="350"/>
      <c r="T16" s="350"/>
      <c r="U16" s="350"/>
      <c r="V16" s="350"/>
      <c r="W16" s="350"/>
      <c r="X16" s="350"/>
      <c r="Y16" s="350"/>
      <c r="Z16" s="350"/>
      <c r="AA16" s="350"/>
      <c r="AB16" s="350"/>
      <c r="AC16" s="350"/>
      <c r="AD16" s="350"/>
      <c r="AE16" s="350"/>
      <c r="AF16" s="350"/>
      <c r="AG16" s="350"/>
      <c r="AH16" s="350"/>
      <c r="AI16" s="350"/>
      <c r="AJ16" s="350"/>
      <c r="AK16" s="350"/>
      <c r="AL16" s="350"/>
      <c r="AM16" s="350"/>
      <c r="AN16" s="350"/>
      <c r="AO16" s="350"/>
      <c r="AP16" s="350"/>
      <c r="AQ16" s="350"/>
      <c r="AR16" s="350"/>
      <c r="AS16" s="350"/>
      <c r="AT16" s="350"/>
      <c r="AU16" s="350"/>
      <c r="AV16" s="350"/>
      <c r="AW16" s="350"/>
      <c r="AX16" s="350"/>
      <c r="AY16" s="350"/>
      <c r="AZ16" s="350"/>
      <c r="BA16" s="350"/>
      <c r="BB16" s="350"/>
      <c r="BC16" s="350"/>
      <c r="BD16" s="350"/>
      <c r="BE16" s="350"/>
      <c r="BF16" s="350"/>
      <c r="BG16" s="350"/>
      <c r="BH16" s="350"/>
      <c r="BI16" s="350"/>
    </row>
    <row r="17" spans="1:61" hidden="1" outlineLevel="1">
      <c r="A17" s="449" t="s">
        <v>735</v>
      </c>
      <c r="B17" s="450"/>
      <c r="C17" s="240"/>
      <c r="D17" s="240"/>
      <c r="E17" s="240"/>
      <c r="F17" s="240"/>
      <c r="G17" s="240"/>
      <c r="H17" s="240"/>
      <c r="I17" s="240"/>
      <c r="J17" s="240"/>
      <c r="K17" s="240"/>
      <c r="L17" s="240"/>
      <c r="M17" s="240"/>
      <c r="N17" s="240"/>
      <c r="O17" s="240"/>
      <c r="P17" s="425">
        <v>4.0210616469623801</v>
      </c>
      <c r="Q17" s="425">
        <v>5.1681419684926402</v>
      </c>
      <c r="R17" s="451">
        <f t="shared" si="0"/>
        <v>0.28526802676521906</v>
      </c>
      <c r="S17" s="350"/>
      <c r="T17" s="350"/>
      <c r="U17" s="350"/>
      <c r="V17" s="350"/>
      <c r="W17" s="350"/>
      <c r="X17" s="350"/>
      <c r="Y17" s="350"/>
      <c r="Z17" s="350"/>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0"/>
      <c r="AX17" s="350"/>
      <c r="AY17" s="350"/>
      <c r="AZ17" s="350"/>
      <c r="BA17" s="350"/>
      <c r="BB17" s="350"/>
      <c r="BC17" s="350"/>
      <c r="BD17" s="350"/>
      <c r="BE17" s="350"/>
      <c r="BF17" s="350"/>
      <c r="BG17" s="350"/>
      <c r="BH17" s="350"/>
      <c r="BI17" s="350"/>
    </row>
    <row r="18" spans="1:61" hidden="1" outlineLevel="1">
      <c r="A18" s="449" t="s">
        <v>736</v>
      </c>
      <c r="B18" s="450"/>
      <c r="C18" s="240"/>
      <c r="D18" s="240"/>
      <c r="E18" s="240"/>
      <c r="F18" s="240"/>
      <c r="G18" s="240"/>
      <c r="H18" s="240"/>
      <c r="I18" s="240"/>
      <c r="J18" s="240"/>
      <c r="K18" s="240"/>
      <c r="L18" s="240"/>
      <c r="M18" s="240"/>
      <c r="N18" s="240"/>
      <c r="O18" s="240"/>
      <c r="P18" s="425">
        <v>5.7491304170423101</v>
      </c>
      <c r="Q18" s="425">
        <v>7.06338680181788</v>
      </c>
      <c r="R18" s="451">
        <f t="shared" si="0"/>
        <v>0.22860089951685258</v>
      </c>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350"/>
      <c r="AP18" s="350"/>
      <c r="AQ18" s="350"/>
      <c r="AR18" s="350"/>
      <c r="AS18" s="350"/>
      <c r="AT18" s="350"/>
      <c r="AU18" s="350"/>
      <c r="AV18" s="350"/>
      <c r="AW18" s="350"/>
      <c r="AX18" s="350"/>
      <c r="AY18" s="350"/>
      <c r="AZ18" s="350"/>
      <c r="BA18" s="350"/>
      <c r="BB18" s="350"/>
      <c r="BC18" s="350"/>
      <c r="BD18" s="350"/>
      <c r="BE18" s="350"/>
      <c r="BF18" s="350"/>
      <c r="BG18" s="350"/>
      <c r="BH18" s="350"/>
      <c r="BI18" s="350"/>
    </row>
    <row r="19" spans="1:61" hidden="1" outlineLevel="1">
      <c r="A19" s="449" t="s">
        <v>737</v>
      </c>
      <c r="B19" s="450"/>
      <c r="C19" s="240"/>
      <c r="D19" s="240"/>
      <c r="E19" s="240"/>
      <c r="F19" s="240"/>
      <c r="G19" s="240"/>
      <c r="H19" s="240"/>
      <c r="I19" s="240"/>
      <c r="J19" s="240"/>
      <c r="K19" s="240"/>
      <c r="L19" s="240"/>
      <c r="M19" s="240"/>
      <c r="N19" s="240"/>
      <c r="O19" s="240"/>
      <c r="P19" s="425">
        <v>6.4534864909959104</v>
      </c>
      <c r="Q19" s="425">
        <v>8.0110092184805008</v>
      </c>
      <c r="R19" s="451">
        <f t="shared" si="0"/>
        <v>0.24134593442748983</v>
      </c>
      <c r="S19" s="350"/>
      <c r="T19" s="350"/>
      <c r="U19" s="350"/>
      <c r="V19" s="350"/>
      <c r="W19" s="350"/>
      <c r="X19" s="350"/>
      <c r="Y19" s="350"/>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c r="AY19" s="350"/>
      <c r="AZ19" s="350"/>
      <c r="BA19" s="350"/>
      <c r="BB19" s="350"/>
      <c r="BC19" s="350"/>
      <c r="BD19" s="350"/>
      <c r="BE19" s="350"/>
      <c r="BF19" s="350"/>
      <c r="BG19" s="350"/>
      <c r="BH19" s="350"/>
      <c r="BI19" s="350"/>
    </row>
    <row r="20" spans="1:61" hidden="1" outlineLevel="1">
      <c r="A20" s="452" t="s">
        <v>738</v>
      </c>
      <c r="B20" s="453"/>
      <c r="C20" s="454"/>
      <c r="D20" s="454"/>
      <c r="E20" s="454"/>
      <c r="F20" s="454"/>
      <c r="G20" s="454"/>
      <c r="H20" s="454"/>
      <c r="I20" s="454"/>
      <c r="J20" s="454"/>
      <c r="K20" s="454"/>
      <c r="L20" s="454"/>
      <c r="M20" s="454"/>
      <c r="N20" s="454"/>
      <c r="O20" s="454"/>
      <c r="P20" s="455">
        <v>7.2334558635725399</v>
      </c>
      <c r="Q20" s="455">
        <v>9.0228442424323791</v>
      </c>
      <c r="R20" s="456">
        <f t="shared" si="0"/>
        <v>0.2473766913918897</v>
      </c>
      <c r="S20" s="350"/>
      <c r="T20" s="350"/>
      <c r="U20" s="350"/>
      <c r="V20" s="350"/>
      <c r="W20" s="350"/>
      <c r="X20" s="350"/>
      <c r="Y20" s="350"/>
      <c r="Z20" s="350"/>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c r="AY20" s="350"/>
      <c r="AZ20" s="350"/>
      <c r="BA20" s="350"/>
      <c r="BB20" s="350"/>
      <c r="BC20" s="350"/>
      <c r="BD20" s="350"/>
      <c r="BE20" s="350"/>
      <c r="BF20" s="350"/>
      <c r="BG20" s="350"/>
      <c r="BH20" s="350"/>
      <c r="BI20" s="350"/>
    </row>
    <row r="21" spans="1:61" hidden="1" outlineLevel="1">
      <c r="A21" s="447" t="s">
        <v>739</v>
      </c>
      <c r="B21" s="457"/>
      <c r="C21" s="237"/>
      <c r="D21" s="237"/>
      <c r="E21" s="237"/>
      <c r="F21" s="237"/>
      <c r="G21" s="237"/>
      <c r="H21" s="237"/>
      <c r="I21" s="237"/>
      <c r="J21" s="237"/>
      <c r="K21" s="237"/>
      <c r="L21" s="237"/>
      <c r="M21" s="237"/>
      <c r="N21" s="237"/>
      <c r="O21" s="237"/>
      <c r="P21" s="458">
        <f>SUMPRODUCT(P22:P23,P51:P52)</f>
        <v>7.3141092893191217</v>
      </c>
      <c r="Q21" s="458">
        <f>SUMPRODUCT(Q22:Q23,P51:P52)</f>
        <v>6.701461197096636</v>
      </c>
      <c r="R21" s="419">
        <f t="shared" si="0"/>
        <v>-8.3762501760418426E-2</v>
      </c>
      <c r="S21" s="350"/>
      <c r="T21" s="350"/>
      <c r="U21" s="350"/>
      <c r="V21" s="350"/>
      <c r="W21" s="350"/>
      <c r="X21" s="350"/>
      <c r="Y21" s="350"/>
      <c r="Z21" s="350"/>
      <c r="AA21" s="350"/>
      <c r="AB21" s="350"/>
      <c r="AC21" s="350"/>
      <c r="AD21" s="350"/>
      <c r="AE21" s="350"/>
      <c r="AF21" s="350"/>
      <c r="AG21" s="350"/>
      <c r="AH21" s="350"/>
      <c r="AI21" s="350"/>
      <c r="AJ21" s="350"/>
      <c r="AK21" s="350"/>
      <c r="AL21" s="350"/>
      <c r="AM21" s="350"/>
      <c r="AN21" s="350"/>
      <c r="AO21" s="350"/>
      <c r="AP21" s="350"/>
      <c r="AQ21" s="350"/>
      <c r="AR21" s="350"/>
      <c r="AS21" s="350"/>
      <c r="AT21" s="350"/>
      <c r="AU21" s="350"/>
      <c r="AV21" s="350"/>
      <c r="AW21" s="350"/>
      <c r="AX21" s="350"/>
      <c r="AY21" s="350"/>
      <c r="AZ21" s="350"/>
      <c r="BA21" s="350"/>
      <c r="BB21" s="350"/>
      <c r="BC21" s="350"/>
      <c r="BD21" s="350"/>
      <c r="BE21" s="350"/>
      <c r="BF21" s="350"/>
      <c r="BG21" s="350"/>
      <c r="BH21" s="350"/>
      <c r="BI21" s="350"/>
    </row>
    <row r="22" spans="1:61" hidden="1" outlineLevel="1">
      <c r="A22" s="449" t="s">
        <v>175</v>
      </c>
      <c r="B22" s="450"/>
      <c r="C22" s="240"/>
      <c r="D22" s="240"/>
      <c r="E22" s="240"/>
      <c r="F22" s="240"/>
      <c r="G22" s="240"/>
      <c r="H22" s="240"/>
      <c r="I22" s="240"/>
      <c r="J22" s="240"/>
      <c r="K22" s="240"/>
      <c r="L22" s="240"/>
      <c r="M22" s="240"/>
      <c r="N22" s="240"/>
      <c r="O22" s="240"/>
      <c r="P22" s="425">
        <v>7.97739097460141</v>
      </c>
      <c r="Q22" s="425">
        <v>7.0682513932791897</v>
      </c>
      <c r="R22" s="451">
        <f t="shared" si="0"/>
        <v>-0.11396452602320215</v>
      </c>
      <c r="S22" s="350"/>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50"/>
      <c r="AZ22" s="350"/>
      <c r="BA22" s="350"/>
      <c r="BB22" s="350"/>
      <c r="BC22" s="350"/>
      <c r="BD22" s="350"/>
      <c r="BE22" s="350"/>
      <c r="BF22" s="350"/>
      <c r="BG22" s="350"/>
      <c r="BH22" s="350"/>
      <c r="BI22" s="350"/>
    </row>
    <row r="23" spans="1:61" hidden="1" outlineLevel="1">
      <c r="A23" s="452" t="s">
        <v>176</v>
      </c>
      <c r="B23" s="453"/>
      <c r="C23" s="454"/>
      <c r="D23" s="454"/>
      <c r="E23" s="454"/>
      <c r="F23" s="454"/>
      <c r="G23" s="454"/>
      <c r="H23" s="454"/>
      <c r="I23" s="454"/>
      <c r="J23" s="454"/>
      <c r="K23" s="454"/>
      <c r="L23" s="454"/>
      <c r="M23" s="454"/>
      <c r="N23" s="454"/>
      <c r="O23" s="454"/>
      <c r="P23" s="455">
        <v>4.6609825481899696</v>
      </c>
      <c r="Q23" s="455">
        <v>5.2343004123664203</v>
      </c>
      <c r="R23" s="456">
        <f t="shared" si="0"/>
        <v>0.12300364960583066</v>
      </c>
      <c r="S23" s="350"/>
      <c r="T23" s="350"/>
      <c r="U23" s="350"/>
      <c r="V23" s="350"/>
      <c r="W23" s="350"/>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c r="AV23" s="350"/>
      <c r="AW23" s="350"/>
      <c r="AX23" s="350"/>
      <c r="AY23" s="350"/>
      <c r="AZ23" s="350"/>
      <c r="BA23" s="350"/>
      <c r="BB23" s="350"/>
      <c r="BC23" s="350"/>
      <c r="BD23" s="350"/>
      <c r="BE23" s="350"/>
      <c r="BF23" s="350"/>
      <c r="BG23" s="350"/>
      <c r="BH23" s="350"/>
      <c r="BI23" s="350"/>
    </row>
    <row r="24" spans="1:61" hidden="1" outlineLevel="1">
      <c r="A24" s="318" t="s">
        <v>174</v>
      </c>
      <c r="B24" s="111"/>
      <c r="C24" s="13"/>
      <c r="D24" s="13"/>
      <c r="E24" s="13"/>
      <c r="F24" s="13"/>
      <c r="G24" s="13"/>
      <c r="H24" s="13"/>
      <c r="I24" s="13"/>
      <c r="J24" s="13"/>
      <c r="K24" s="13"/>
      <c r="L24" s="13"/>
      <c r="M24" s="13"/>
      <c r="N24" s="13"/>
      <c r="O24" s="13"/>
      <c r="P24" s="374">
        <v>1.1368741379215599</v>
      </c>
      <c r="Q24" s="374">
        <v>1.2871709006618499</v>
      </c>
      <c r="R24" s="375">
        <f t="shared" si="0"/>
        <v>0.1322017607112283</v>
      </c>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c r="AY24" s="350"/>
      <c r="AZ24" s="350"/>
      <c r="BA24" s="350"/>
      <c r="BB24" s="350"/>
      <c r="BC24" s="350"/>
      <c r="BD24" s="350"/>
      <c r="BE24" s="350"/>
      <c r="BF24" s="350"/>
      <c r="BG24" s="350"/>
      <c r="BH24" s="350"/>
      <c r="BI24" s="350"/>
    </row>
    <row r="25" spans="1:61" s="350" customFormat="1" hidden="1" outlineLevel="1">
      <c r="A25" s="318" t="s">
        <v>695</v>
      </c>
      <c r="B25" s="111"/>
      <c r="C25" s="13"/>
      <c r="D25" s="13"/>
      <c r="E25" s="13"/>
      <c r="F25" s="13"/>
      <c r="G25" s="13"/>
      <c r="H25" s="13"/>
      <c r="I25" s="13"/>
      <c r="J25" s="13"/>
      <c r="K25" s="13"/>
      <c r="L25" s="13"/>
      <c r="M25" s="13"/>
      <c r="N25" s="13"/>
      <c r="O25" s="13"/>
      <c r="P25" s="374">
        <v>9.4153047467969202</v>
      </c>
      <c r="Q25" s="374">
        <v>6.8882615092108299</v>
      </c>
      <c r="R25" s="375">
        <f t="shared" si="0"/>
        <v>-0.26839739185773975</v>
      </c>
    </row>
    <row r="26" spans="1:61" hidden="1" outlineLevel="1">
      <c r="A26" s="373" t="s">
        <v>194</v>
      </c>
      <c r="B26" s="354"/>
      <c r="C26" s="223"/>
      <c r="D26" s="223"/>
      <c r="E26" s="223"/>
      <c r="F26" s="223"/>
      <c r="G26" s="223"/>
      <c r="H26" s="223"/>
      <c r="I26" s="223"/>
      <c r="J26" s="223"/>
      <c r="K26" s="223"/>
      <c r="L26" s="223"/>
      <c r="M26" s="223"/>
      <c r="N26" s="223"/>
      <c r="O26" s="223"/>
      <c r="P26" s="223"/>
      <c r="Q26" s="223"/>
      <c r="R26" s="223"/>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c r="AV26" s="350"/>
      <c r="AW26" s="350"/>
      <c r="AX26" s="350"/>
      <c r="AY26" s="350"/>
      <c r="AZ26" s="350"/>
      <c r="BA26" s="350"/>
      <c r="BB26" s="350"/>
      <c r="BC26" s="350"/>
      <c r="BD26" s="350"/>
      <c r="BE26" s="350"/>
      <c r="BF26" s="350"/>
      <c r="BG26" s="350"/>
      <c r="BH26" s="350"/>
      <c r="BI26" s="350"/>
    </row>
    <row r="27" spans="1:61" hidden="1" outlineLevel="1">
      <c r="A27" s="337" t="s">
        <v>195</v>
      </c>
      <c r="B27" s="110"/>
      <c r="C27" s="225"/>
      <c r="D27" s="225"/>
      <c r="E27" s="225"/>
      <c r="F27" s="225"/>
      <c r="G27" s="225"/>
      <c r="H27" s="225"/>
      <c r="I27" s="225"/>
      <c r="J27" s="225"/>
      <c r="K27" s="225"/>
      <c r="L27" s="225"/>
      <c r="M27" s="225"/>
      <c r="N27" s="225"/>
      <c r="O27" s="225"/>
      <c r="P27" s="376">
        <v>97.310142320105498</v>
      </c>
      <c r="Q27" s="376" t="s">
        <v>204</v>
      </c>
      <c r="R27" s="395" t="str">
        <f t="shared" ref="R27:R31" si="1">IFERROR((Q27-P27)/P27,"brak")</f>
        <v>brak</v>
      </c>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c r="AV27" s="350"/>
      <c r="AW27" s="350"/>
      <c r="AX27" s="350"/>
      <c r="AY27" s="350"/>
      <c r="AZ27" s="350"/>
      <c r="BA27" s="350"/>
      <c r="BB27" s="350"/>
      <c r="BC27" s="350"/>
      <c r="BD27" s="350"/>
      <c r="BE27" s="350"/>
      <c r="BF27" s="350"/>
      <c r="BG27" s="350"/>
      <c r="BH27" s="350"/>
      <c r="BI27" s="350"/>
    </row>
    <row r="28" spans="1:61" hidden="1" outlineLevel="1">
      <c r="A28" s="337" t="s">
        <v>196</v>
      </c>
      <c r="B28" s="110"/>
      <c r="C28" s="225"/>
      <c r="D28" s="225"/>
      <c r="E28" s="225"/>
      <c r="F28" s="225"/>
      <c r="G28" s="225"/>
      <c r="H28" s="225"/>
      <c r="I28" s="225"/>
      <c r="J28" s="225"/>
      <c r="K28" s="225"/>
      <c r="L28" s="225"/>
      <c r="M28" s="225"/>
      <c r="N28" s="225"/>
      <c r="O28" s="225"/>
      <c r="P28" s="376">
        <v>105.54706852955999</v>
      </c>
      <c r="Q28" s="376">
        <v>37.638980526923199</v>
      </c>
      <c r="R28" s="375">
        <f t="shared" si="1"/>
        <v>-0.64339151194538524</v>
      </c>
      <c r="S28" s="350"/>
      <c r="T28" s="350"/>
      <c r="U28" s="350"/>
      <c r="V28" s="350"/>
      <c r="W28" s="350"/>
      <c r="X28" s="350"/>
      <c r="Y28" s="350"/>
      <c r="Z28" s="350"/>
      <c r="AA28" s="350"/>
      <c r="AB28" s="350"/>
      <c r="AC28" s="350"/>
      <c r="AD28" s="350"/>
      <c r="AE28" s="350"/>
      <c r="AF28" s="350"/>
      <c r="AG28" s="350"/>
      <c r="AH28" s="350"/>
      <c r="AI28" s="350"/>
      <c r="AJ28" s="350"/>
      <c r="AK28" s="350"/>
      <c r="AL28" s="350"/>
      <c r="AM28" s="350"/>
      <c r="AN28" s="350"/>
      <c r="AO28" s="350"/>
      <c r="AP28" s="350"/>
      <c r="AQ28" s="350"/>
      <c r="AR28" s="350"/>
      <c r="AS28" s="350"/>
      <c r="AT28" s="350"/>
      <c r="AU28" s="350"/>
      <c r="AV28" s="350"/>
      <c r="AW28" s="350"/>
      <c r="AX28" s="350"/>
      <c r="AY28" s="350"/>
      <c r="AZ28" s="350"/>
      <c r="BA28" s="350"/>
      <c r="BB28" s="350"/>
      <c r="BC28" s="350"/>
      <c r="BD28" s="350"/>
      <c r="BE28" s="350"/>
      <c r="BF28" s="350"/>
      <c r="BG28" s="350"/>
      <c r="BH28" s="350"/>
      <c r="BI28" s="350"/>
    </row>
    <row r="29" spans="1:61" hidden="1" outlineLevel="1">
      <c r="A29" s="337" t="s">
        <v>201</v>
      </c>
      <c r="B29" s="110"/>
      <c r="C29" s="225"/>
      <c r="D29" s="225"/>
      <c r="E29" s="225"/>
      <c r="F29" s="225"/>
      <c r="G29" s="225"/>
      <c r="H29" s="225"/>
      <c r="I29" s="225"/>
      <c r="J29" s="225"/>
      <c r="K29" s="225"/>
      <c r="L29" s="225"/>
      <c r="M29" s="225"/>
      <c r="N29" s="225"/>
      <c r="O29" s="225"/>
      <c r="P29" s="376">
        <v>81.384631380744807</v>
      </c>
      <c r="Q29" s="376">
        <v>37.168886259029797</v>
      </c>
      <c r="R29" s="375">
        <f t="shared" si="1"/>
        <v>-0.54329354783041051</v>
      </c>
      <c r="S29" s="350"/>
      <c r="T29" s="350"/>
      <c r="U29" s="350"/>
      <c r="V29" s="350"/>
      <c r="W29" s="350"/>
      <c r="X29" s="350"/>
      <c r="Y29" s="350"/>
      <c r="Z29" s="350"/>
      <c r="AA29" s="350"/>
      <c r="AB29" s="350"/>
      <c r="AC29" s="350"/>
      <c r="AD29" s="350"/>
      <c r="AE29" s="350"/>
      <c r="AF29" s="350"/>
      <c r="AG29" s="350"/>
      <c r="AH29" s="350"/>
      <c r="AI29" s="350"/>
      <c r="AJ29" s="350"/>
      <c r="AK29" s="350"/>
      <c r="AL29" s="350"/>
      <c r="AM29" s="350"/>
      <c r="AN29" s="350"/>
      <c r="AO29" s="350"/>
      <c r="AP29" s="350"/>
      <c r="AQ29" s="350"/>
      <c r="AR29" s="350"/>
      <c r="AS29" s="350"/>
      <c r="AT29" s="350"/>
      <c r="AU29" s="350"/>
      <c r="AV29" s="350"/>
      <c r="AW29" s="350"/>
      <c r="AX29" s="350"/>
      <c r="AY29" s="350"/>
      <c r="AZ29" s="350"/>
      <c r="BA29" s="350"/>
      <c r="BB29" s="350"/>
      <c r="BC29" s="350"/>
      <c r="BD29" s="350"/>
      <c r="BE29" s="350"/>
      <c r="BF29" s="350"/>
      <c r="BG29" s="350"/>
      <c r="BH29" s="350"/>
      <c r="BI29" s="350"/>
    </row>
    <row r="30" spans="1:61" hidden="1" outlineLevel="1">
      <c r="A30" s="337" t="s">
        <v>202</v>
      </c>
      <c r="B30" s="110"/>
      <c r="C30" s="225"/>
      <c r="D30" s="225"/>
      <c r="E30" s="225"/>
      <c r="F30" s="225"/>
      <c r="G30" s="225"/>
      <c r="H30" s="225"/>
      <c r="I30" s="225"/>
      <c r="J30" s="225"/>
      <c r="K30" s="225"/>
      <c r="L30" s="225"/>
      <c r="M30" s="225"/>
      <c r="N30" s="225"/>
      <c r="O30" s="225"/>
      <c r="P30" s="376">
        <v>358.677108707885</v>
      </c>
      <c r="Q30" s="376">
        <v>148.67554503611899</v>
      </c>
      <c r="R30" s="375">
        <f t="shared" si="1"/>
        <v>-0.58548917277794876</v>
      </c>
      <c r="S30" s="350"/>
      <c r="T30" s="350"/>
      <c r="U30" s="350"/>
      <c r="V30" s="350"/>
      <c r="W30" s="350"/>
      <c r="X30" s="350"/>
      <c r="Y30" s="350"/>
      <c r="Z30" s="350"/>
      <c r="AA30" s="350"/>
      <c r="AB30" s="350"/>
      <c r="AC30" s="350"/>
      <c r="AD30" s="350"/>
      <c r="AE30" s="350"/>
      <c r="AF30" s="350"/>
      <c r="AG30" s="350"/>
      <c r="AH30" s="350"/>
      <c r="AI30" s="350"/>
      <c r="AJ30" s="350"/>
      <c r="AK30" s="350"/>
      <c r="AL30" s="350"/>
      <c r="AM30" s="350"/>
      <c r="AN30" s="350"/>
      <c r="AO30" s="350"/>
      <c r="AP30" s="350"/>
      <c r="AQ30" s="350"/>
      <c r="AR30" s="350"/>
      <c r="AS30" s="350"/>
      <c r="AT30" s="350"/>
      <c r="AU30" s="350"/>
      <c r="AV30" s="350"/>
      <c r="AW30" s="350"/>
      <c r="AX30" s="350"/>
      <c r="AY30" s="350"/>
      <c r="AZ30" s="350"/>
      <c r="BA30" s="350"/>
      <c r="BB30" s="350"/>
      <c r="BC30" s="350"/>
      <c r="BD30" s="350"/>
      <c r="BE30" s="350"/>
      <c r="BF30" s="350"/>
      <c r="BG30" s="350"/>
      <c r="BH30" s="350"/>
      <c r="BI30" s="350"/>
    </row>
    <row r="31" spans="1:61" hidden="1" outlineLevel="1">
      <c r="A31" s="337" t="s">
        <v>203</v>
      </c>
      <c r="B31" s="110"/>
      <c r="C31" s="225"/>
      <c r="D31" s="225"/>
      <c r="E31" s="225"/>
      <c r="F31" s="225"/>
      <c r="G31" s="225"/>
      <c r="H31" s="225"/>
      <c r="I31" s="225"/>
      <c r="J31" s="225"/>
      <c r="K31" s="225"/>
      <c r="L31" s="225"/>
      <c r="M31" s="225"/>
      <c r="N31" s="225"/>
      <c r="O31" s="225"/>
      <c r="P31" s="376">
        <v>201.24230445458701</v>
      </c>
      <c r="Q31" s="376">
        <v>148.67554503611899</v>
      </c>
      <c r="R31" s="375">
        <f t="shared" si="1"/>
        <v>-0.26121127742467493</v>
      </c>
      <c r="S31" s="350"/>
      <c r="T31" s="350"/>
      <c r="U31" s="350"/>
      <c r="V31" s="350"/>
      <c r="W31" s="350"/>
      <c r="X31" s="350"/>
      <c r="Y31" s="350"/>
      <c r="Z31" s="350"/>
      <c r="AA31" s="350"/>
      <c r="AB31" s="350"/>
      <c r="AC31" s="350"/>
      <c r="AD31" s="350"/>
      <c r="AE31" s="350"/>
      <c r="AF31" s="350"/>
      <c r="AG31" s="350"/>
      <c r="AH31" s="350"/>
      <c r="AI31" s="350"/>
      <c r="AJ31" s="350"/>
      <c r="AK31" s="350"/>
      <c r="AL31" s="350"/>
      <c r="AM31" s="350"/>
      <c r="AN31" s="350"/>
      <c r="AO31" s="350"/>
      <c r="AP31" s="350"/>
      <c r="AQ31" s="350"/>
      <c r="AR31" s="350"/>
      <c r="AS31" s="350"/>
      <c r="AT31" s="350"/>
      <c r="AU31" s="350"/>
      <c r="AV31" s="350"/>
      <c r="AW31" s="350"/>
      <c r="AX31" s="350"/>
      <c r="AY31" s="350"/>
      <c r="AZ31" s="350"/>
      <c r="BA31" s="350"/>
      <c r="BB31" s="350"/>
      <c r="BC31" s="350"/>
      <c r="BD31" s="350"/>
      <c r="BE31" s="350"/>
      <c r="BF31" s="350"/>
      <c r="BG31" s="350"/>
      <c r="BH31" s="350"/>
      <c r="BI31" s="350"/>
    </row>
    <row r="32" spans="1:61" hidden="1" outlineLevel="1">
      <c r="A32" s="35" t="s">
        <v>740</v>
      </c>
      <c r="B32" s="350"/>
      <c r="C32" s="350"/>
      <c r="D32" s="350"/>
      <c r="E32" s="350"/>
      <c r="F32" s="350"/>
      <c r="G32" s="350"/>
      <c r="H32" s="350"/>
      <c r="I32" s="350"/>
      <c r="J32" s="350"/>
      <c r="K32" s="350"/>
      <c r="L32" s="350"/>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350"/>
      <c r="AM32" s="350"/>
      <c r="AN32" s="350"/>
      <c r="AO32" s="350"/>
      <c r="AP32" s="350"/>
      <c r="AQ32" s="350"/>
      <c r="AR32" s="350"/>
      <c r="AS32" s="350"/>
      <c r="AT32" s="350"/>
      <c r="AU32" s="350"/>
      <c r="AV32" s="350"/>
      <c r="AW32" s="350"/>
      <c r="AX32" s="350"/>
      <c r="AY32" s="350"/>
      <c r="AZ32" s="350"/>
      <c r="BA32" s="350"/>
      <c r="BB32" s="350"/>
      <c r="BC32" s="350"/>
      <c r="BD32" s="350"/>
      <c r="BE32" s="350"/>
      <c r="BF32" s="350"/>
      <c r="BG32" s="350"/>
      <c r="BH32" s="350"/>
      <c r="BI32" s="350"/>
    </row>
    <row r="33" spans="1:61" hidden="1" outlineLevel="1">
      <c r="A33" s="793" t="s">
        <v>741</v>
      </c>
      <c r="B33" s="793"/>
      <c r="C33" s="793"/>
      <c r="D33" s="793"/>
      <c r="E33" s="793"/>
      <c r="F33" s="793"/>
      <c r="G33" s="793"/>
      <c r="H33" s="793"/>
      <c r="I33" s="793"/>
      <c r="J33" s="793"/>
      <c r="K33" s="793"/>
      <c r="L33" s="793"/>
      <c r="M33" s="793"/>
      <c r="N33" s="793"/>
      <c r="O33" s="793"/>
      <c r="P33" s="793"/>
      <c r="Q33" s="793"/>
      <c r="R33" s="793"/>
      <c r="S33" s="793"/>
      <c r="T33" s="793"/>
      <c r="U33" s="793"/>
      <c r="V33" s="793"/>
      <c r="W33" s="350"/>
      <c r="X33" s="350"/>
      <c r="Y33" s="350"/>
      <c r="Z33" s="350"/>
      <c r="AA33" s="350"/>
      <c r="AB33" s="350"/>
      <c r="AC33" s="350"/>
      <c r="AD33" s="350"/>
      <c r="AE33" s="350"/>
      <c r="AF33" s="350"/>
      <c r="AG33" s="350"/>
      <c r="AH33" s="350"/>
      <c r="AI33" s="350"/>
      <c r="AJ33" s="350"/>
      <c r="AK33" s="350"/>
      <c r="AL33" s="350"/>
      <c r="AM33" s="350"/>
      <c r="AN33" s="350"/>
      <c r="AO33" s="350"/>
      <c r="AP33" s="350"/>
      <c r="AQ33" s="350"/>
      <c r="AR33" s="350"/>
      <c r="AS33" s="350"/>
      <c r="AT33" s="350"/>
      <c r="AU33" s="350"/>
      <c r="AV33" s="350"/>
      <c r="AW33" s="350"/>
      <c r="AX33" s="350"/>
      <c r="AY33" s="350"/>
      <c r="AZ33" s="350"/>
      <c r="BA33" s="350"/>
      <c r="BB33" s="350"/>
      <c r="BC33" s="350"/>
      <c r="BD33" s="350"/>
      <c r="BE33" s="350"/>
      <c r="BF33" s="350"/>
      <c r="BG33" s="350"/>
      <c r="BH33" s="350"/>
      <c r="BI33" s="350"/>
    </row>
    <row r="34" spans="1:61" s="672" customFormat="1" hidden="1" outlineLevel="1">
      <c r="A34" s="793"/>
      <c r="B34" s="793"/>
      <c r="C34" s="793"/>
      <c r="D34" s="793"/>
      <c r="E34" s="793"/>
      <c r="F34" s="793"/>
      <c r="G34" s="793"/>
      <c r="H34" s="793"/>
      <c r="I34" s="793"/>
      <c r="J34" s="793"/>
      <c r="K34" s="793"/>
      <c r="L34" s="793"/>
      <c r="M34" s="793"/>
      <c r="N34" s="793"/>
      <c r="O34" s="793"/>
      <c r="P34" s="793"/>
      <c r="Q34" s="793"/>
      <c r="R34" s="793"/>
      <c r="S34" s="793"/>
      <c r="T34" s="793"/>
      <c r="U34" s="793"/>
      <c r="V34" s="793"/>
    </row>
    <row r="35" spans="1:61" s="672" customFormat="1" hidden="1" outlineLevel="1">
      <c r="A35" s="793"/>
      <c r="B35" s="793"/>
      <c r="C35" s="793"/>
      <c r="D35" s="793"/>
      <c r="E35" s="793"/>
      <c r="F35" s="793"/>
      <c r="G35" s="793"/>
      <c r="H35" s="793"/>
      <c r="I35" s="793"/>
      <c r="J35" s="793"/>
      <c r="K35" s="793"/>
      <c r="L35" s="793"/>
      <c r="M35" s="793"/>
      <c r="N35" s="793"/>
      <c r="O35" s="793"/>
      <c r="P35" s="793"/>
      <c r="Q35" s="793"/>
      <c r="R35" s="793"/>
      <c r="S35" s="793"/>
      <c r="T35" s="793"/>
      <c r="U35" s="793"/>
      <c r="V35" s="793"/>
    </row>
    <row r="36" spans="1:61" s="672" customFormat="1" hidden="1" outlineLevel="1">
      <c r="A36" s="793"/>
      <c r="B36" s="793"/>
      <c r="C36" s="793"/>
      <c r="D36" s="793"/>
      <c r="E36" s="793"/>
      <c r="F36" s="793"/>
      <c r="G36" s="793"/>
      <c r="H36" s="793"/>
      <c r="I36" s="793"/>
      <c r="J36" s="793"/>
      <c r="K36" s="793"/>
      <c r="L36" s="793"/>
      <c r="M36" s="793"/>
      <c r="N36" s="793"/>
      <c r="O36" s="793"/>
      <c r="P36" s="793"/>
      <c r="Q36" s="793"/>
      <c r="R36" s="793"/>
      <c r="S36" s="793"/>
      <c r="T36" s="793"/>
      <c r="U36" s="793"/>
      <c r="V36" s="793"/>
    </row>
    <row r="37" spans="1:61" s="672" customFormat="1" hidden="1" outlineLevel="1">
      <c r="A37" s="793"/>
      <c r="B37" s="793"/>
      <c r="C37" s="793"/>
      <c r="D37" s="793"/>
      <c r="E37" s="793"/>
      <c r="F37" s="793"/>
      <c r="G37" s="793"/>
      <c r="H37" s="793"/>
      <c r="I37" s="793"/>
      <c r="J37" s="793"/>
      <c r="K37" s="793"/>
      <c r="L37" s="793"/>
      <c r="M37" s="793"/>
      <c r="N37" s="793"/>
      <c r="O37" s="793"/>
      <c r="P37" s="793"/>
      <c r="Q37" s="793"/>
      <c r="R37" s="793"/>
      <c r="S37" s="793"/>
      <c r="T37" s="793"/>
      <c r="U37" s="793"/>
      <c r="V37" s="793"/>
    </row>
    <row r="38" spans="1:61" hidden="1" outlineLevel="1">
      <c r="A38" s="810" t="s">
        <v>742</v>
      </c>
      <c r="B38" s="810"/>
      <c r="C38" s="810"/>
      <c r="D38" s="810"/>
      <c r="E38" s="810"/>
      <c r="F38" s="810"/>
      <c r="G38" s="810"/>
      <c r="H38" s="810"/>
      <c r="I38" s="810"/>
      <c r="J38" s="810"/>
      <c r="K38" s="810"/>
      <c r="L38" s="810"/>
      <c r="M38" s="810"/>
      <c r="N38" s="810"/>
      <c r="O38" s="810"/>
      <c r="P38" s="810"/>
      <c r="Q38" s="810"/>
      <c r="R38" s="810"/>
      <c r="S38" s="810"/>
      <c r="T38" s="810"/>
      <c r="U38" s="810"/>
      <c r="V38" s="810"/>
      <c r="W38" s="350"/>
      <c r="X38" s="350"/>
      <c r="Y38" s="350"/>
      <c r="Z38" s="350"/>
      <c r="AA38" s="350"/>
      <c r="AB38" s="350"/>
      <c r="AC38" s="350"/>
      <c r="AD38" s="350"/>
      <c r="AE38" s="350"/>
      <c r="AF38" s="350"/>
      <c r="AG38" s="350"/>
      <c r="AH38" s="350"/>
      <c r="AI38" s="350"/>
      <c r="AJ38" s="350"/>
      <c r="AK38" s="350"/>
      <c r="AL38" s="350"/>
      <c r="AM38" s="350"/>
      <c r="AN38" s="350"/>
      <c r="AO38" s="350"/>
      <c r="AP38" s="350"/>
      <c r="AQ38" s="350"/>
      <c r="AR38" s="350"/>
      <c r="AS38" s="350"/>
      <c r="AT38" s="350"/>
      <c r="AU38" s="350"/>
      <c r="AV38" s="350"/>
      <c r="AW38" s="350"/>
      <c r="AX38" s="350"/>
      <c r="AY38" s="350"/>
      <c r="AZ38" s="350"/>
      <c r="BA38" s="350"/>
      <c r="BB38" s="350"/>
      <c r="BC38" s="350"/>
      <c r="BD38" s="350"/>
      <c r="BE38" s="350"/>
      <c r="BF38" s="350"/>
      <c r="BG38" s="350"/>
      <c r="BH38" s="350"/>
      <c r="BI38" s="350"/>
    </row>
    <row r="39" spans="1:61" s="672" customFormat="1" hidden="1" outlineLevel="1">
      <c r="A39" s="810"/>
      <c r="B39" s="810"/>
      <c r="C39" s="810"/>
      <c r="D39" s="810"/>
      <c r="E39" s="810"/>
      <c r="F39" s="810"/>
      <c r="G39" s="810"/>
      <c r="H39" s="810"/>
      <c r="I39" s="810"/>
      <c r="J39" s="810"/>
      <c r="K39" s="810"/>
      <c r="L39" s="810"/>
      <c r="M39" s="810"/>
      <c r="N39" s="810"/>
      <c r="O39" s="810"/>
      <c r="P39" s="810"/>
      <c r="Q39" s="810"/>
      <c r="R39" s="810"/>
      <c r="S39" s="810"/>
      <c r="T39" s="810"/>
      <c r="U39" s="810"/>
      <c r="V39" s="810"/>
    </row>
    <row r="40" spans="1:61" s="672" customFormat="1" hidden="1" outlineLevel="1">
      <c r="A40" s="810"/>
      <c r="B40" s="810"/>
      <c r="C40" s="810"/>
      <c r="D40" s="810"/>
      <c r="E40" s="810"/>
      <c r="F40" s="810"/>
      <c r="G40" s="810"/>
      <c r="H40" s="810"/>
      <c r="I40" s="810"/>
      <c r="J40" s="810"/>
      <c r="K40" s="810"/>
      <c r="L40" s="810"/>
      <c r="M40" s="810"/>
      <c r="N40" s="810"/>
      <c r="O40" s="810"/>
      <c r="P40" s="810"/>
      <c r="Q40" s="810"/>
      <c r="R40" s="810"/>
      <c r="S40" s="810"/>
      <c r="T40" s="810"/>
      <c r="U40" s="810"/>
      <c r="V40" s="810"/>
    </row>
    <row r="41" spans="1:61" hidden="1" outlineLevel="1">
      <c r="A41" s="810" t="s">
        <v>748</v>
      </c>
      <c r="B41" s="810"/>
      <c r="C41" s="810"/>
      <c r="D41" s="810"/>
      <c r="E41" s="810"/>
      <c r="F41" s="810"/>
      <c r="G41" s="810"/>
      <c r="H41" s="810"/>
      <c r="I41" s="810"/>
      <c r="J41" s="810"/>
      <c r="K41" s="810"/>
      <c r="L41" s="810"/>
      <c r="M41" s="810"/>
      <c r="N41" s="810"/>
      <c r="O41" s="810"/>
      <c r="P41" s="810"/>
      <c r="Q41" s="810"/>
      <c r="R41" s="810"/>
      <c r="S41" s="810"/>
      <c r="T41" s="810"/>
      <c r="U41" s="810"/>
      <c r="V41" s="810"/>
      <c r="W41" s="350"/>
      <c r="X41" s="350"/>
      <c r="Y41" s="350"/>
      <c r="Z41" s="350"/>
      <c r="AA41" s="350"/>
      <c r="AB41" s="350"/>
      <c r="AC41" s="350"/>
      <c r="AD41" s="350"/>
      <c r="AE41" s="350"/>
      <c r="AF41" s="350"/>
      <c r="AG41" s="350"/>
      <c r="AH41" s="350"/>
      <c r="AI41" s="350"/>
      <c r="AJ41" s="350"/>
      <c r="AK41" s="350"/>
      <c r="AL41" s="350"/>
      <c r="AM41" s="350"/>
      <c r="AN41" s="350"/>
      <c r="AO41" s="350"/>
      <c r="AP41" s="350"/>
      <c r="AQ41" s="350"/>
      <c r="AR41" s="350"/>
      <c r="AS41" s="350"/>
      <c r="AT41" s="350"/>
      <c r="AU41" s="350"/>
      <c r="AV41" s="350"/>
      <c r="AW41" s="350"/>
      <c r="AX41" s="350"/>
      <c r="AY41" s="350"/>
      <c r="AZ41" s="350"/>
      <c r="BA41" s="350"/>
      <c r="BB41" s="350"/>
      <c r="BC41" s="350"/>
      <c r="BD41" s="350"/>
      <c r="BE41" s="350"/>
      <c r="BF41" s="350"/>
      <c r="BG41" s="350"/>
      <c r="BH41" s="350"/>
      <c r="BI41" s="350"/>
    </row>
    <row r="42" spans="1:61" s="672" customFormat="1" hidden="1" outlineLevel="1">
      <c r="A42" s="810"/>
      <c r="B42" s="810"/>
      <c r="C42" s="810"/>
      <c r="D42" s="810"/>
      <c r="E42" s="810"/>
      <c r="F42" s="810"/>
      <c r="G42" s="810"/>
      <c r="H42" s="810"/>
      <c r="I42" s="810"/>
      <c r="J42" s="810"/>
      <c r="K42" s="810"/>
      <c r="L42" s="810"/>
      <c r="M42" s="810"/>
      <c r="N42" s="810"/>
      <c r="O42" s="810"/>
      <c r="P42" s="810"/>
      <c r="Q42" s="810"/>
      <c r="R42" s="810"/>
      <c r="S42" s="810"/>
      <c r="T42" s="810"/>
      <c r="U42" s="810"/>
      <c r="V42" s="810"/>
    </row>
    <row r="43" spans="1:61" hidden="1" outlineLevel="1">
      <c r="A43" s="350"/>
      <c r="B43" s="350"/>
      <c r="C43" s="350"/>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350"/>
      <c r="AI43" s="350"/>
      <c r="AJ43" s="350"/>
      <c r="AK43" s="350"/>
      <c r="AL43" s="350"/>
      <c r="AM43" s="350"/>
      <c r="AN43" s="350"/>
      <c r="AO43" s="350"/>
      <c r="AP43" s="350"/>
      <c r="AQ43" s="350"/>
      <c r="AR43" s="350"/>
      <c r="AS43" s="350"/>
      <c r="AT43" s="350"/>
      <c r="AU43" s="350"/>
      <c r="AV43" s="350"/>
      <c r="AW43" s="350"/>
      <c r="AX43" s="350"/>
      <c r="AY43" s="350"/>
      <c r="AZ43" s="350"/>
      <c r="BA43" s="350"/>
      <c r="BB43" s="350"/>
      <c r="BC43" s="350"/>
      <c r="BD43" s="350"/>
      <c r="BE43" s="350"/>
      <c r="BF43" s="350"/>
      <c r="BG43" s="350"/>
      <c r="BH43" s="350"/>
      <c r="BI43" s="350"/>
    </row>
    <row r="44" spans="1:61" hidden="1" outlineLevel="1">
      <c r="A44" s="336" t="s">
        <v>160</v>
      </c>
      <c r="B44" s="350"/>
      <c r="C44" s="350"/>
      <c r="D44" s="350"/>
      <c r="E44" s="350"/>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350"/>
      <c r="AG44" s="350"/>
      <c r="AH44" s="350"/>
      <c r="AI44" s="350"/>
      <c r="AJ44" s="350"/>
      <c r="AK44" s="350"/>
      <c r="AL44" s="350"/>
      <c r="AM44" s="350"/>
      <c r="AN44" s="350"/>
      <c r="AO44" s="350"/>
      <c r="AP44" s="350"/>
      <c r="AQ44" s="350"/>
      <c r="AR44" s="350"/>
      <c r="AS44" s="350"/>
      <c r="AT44" s="350"/>
      <c r="AU44" s="350"/>
      <c r="AV44" s="350"/>
      <c r="AW44" s="350"/>
      <c r="AX44" s="350"/>
      <c r="AY44" s="350"/>
      <c r="AZ44" s="350"/>
      <c r="BA44" s="350"/>
      <c r="BB44" s="350"/>
      <c r="BC44" s="350"/>
      <c r="BD44" s="350"/>
      <c r="BE44" s="350"/>
      <c r="BF44" s="350"/>
      <c r="BG44" s="350"/>
      <c r="BH44" s="350"/>
      <c r="BI44" s="350"/>
    </row>
    <row r="45" spans="1:61" hidden="1" outlineLevel="1">
      <c r="A45" s="236" t="s">
        <v>162</v>
      </c>
      <c r="B45" s="457"/>
      <c r="C45" s="237"/>
      <c r="D45" s="237"/>
      <c r="E45" s="237"/>
      <c r="F45" s="237"/>
      <c r="G45" s="237"/>
      <c r="H45" s="237"/>
      <c r="I45" s="237"/>
      <c r="J45" s="237"/>
      <c r="K45" s="237"/>
      <c r="L45" s="237"/>
      <c r="M45" s="237"/>
      <c r="N45" s="237"/>
      <c r="O45" s="237"/>
      <c r="P45" s="459"/>
      <c r="Q45" s="350"/>
      <c r="R45" s="350"/>
      <c r="S45" s="350"/>
      <c r="T45" s="350"/>
      <c r="U45" s="350"/>
      <c r="V45" s="350"/>
      <c r="W45" s="350"/>
      <c r="X45" s="350"/>
      <c r="Y45" s="350"/>
      <c r="Z45" s="350"/>
      <c r="AA45" s="350"/>
      <c r="AB45" s="350"/>
      <c r="AC45" s="350"/>
      <c r="AD45" s="350"/>
      <c r="AE45" s="350"/>
      <c r="AF45" s="350"/>
      <c r="AG45" s="350"/>
      <c r="AH45" s="350"/>
      <c r="AI45" s="350"/>
      <c r="AJ45" s="350"/>
      <c r="AK45" s="350"/>
      <c r="AL45" s="350"/>
      <c r="AM45" s="350"/>
      <c r="AN45" s="350"/>
      <c r="AO45" s="350"/>
      <c r="AP45" s="350"/>
      <c r="AQ45" s="350"/>
      <c r="AR45" s="350"/>
      <c r="AS45" s="350"/>
      <c r="AT45" s="350"/>
      <c r="AU45" s="350"/>
      <c r="AV45" s="350"/>
      <c r="AW45" s="350"/>
      <c r="AX45" s="350"/>
      <c r="AY45" s="350"/>
      <c r="AZ45" s="350"/>
      <c r="BA45" s="350"/>
      <c r="BB45" s="350"/>
      <c r="BC45" s="350"/>
      <c r="BD45" s="350"/>
      <c r="BE45" s="350"/>
      <c r="BF45" s="350"/>
      <c r="BG45" s="350"/>
      <c r="BH45" s="350"/>
      <c r="BI45" s="350"/>
    </row>
    <row r="46" spans="1:61" hidden="1" outlineLevel="1">
      <c r="A46" s="460" t="s">
        <v>743</v>
      </c>
      <c r="B46" s="461"/>
      <c r="C46" s="323"/>
      <c r="D46" s="323"/>
      <c r="E46" s="323"/>
      <c r="F46" s="323"/>
      <c r="G46" s="323"/>
      <c r="H46" s="323"/>
      <c r="I46" s="323"/>
      <c r="J46" s="323"/>
      <c r="K46" s="323"/>
      <c r="L46" s="323"/>
      <c r="M46" s="323"/>
      <c r="N46" s="323"/>
      <c r="O46" s="323"/>
      <c r="P46" s="462">
        <f>S63/SUM(S63:S66)</f>
        <v>1.8187611979418074E-2</v>
      </c>
      <c r="Q46" s="350"/>
      <c r="R46" s="350"/>
      <c r="S46" s="350"/>
      <c r="T46" s="350"/>
      <c r="U46" s="350"/>
      <c r="V46" s="350"/>
      <c r="W46" s="350"/>
      <c r="X46" s="350"/>
      <c r="Y46" s="350"/>
      <c r="Z46" s="350"/>
      <c r="AA46" s="350"/>
      <c r="AB46" s="350"/>
      <c r="AC46" s="350"/>
      <c r="AD46" s="350"/>
      <c r="AE46" s="350"/>
      <c r="AF46" s="350"/>
      <c r="AG46" s="350"/>
      <c r="AH46" s="350"/>
      <c r="AI46" s="350"/>
      <c r="AJ46" s="350"/>
      <c r="AK46" s="350"/>
      <c r="AL46" s="350"/>
      <c r="AM46" s="350"/>
      <c r="AN46" s="350"/>
      <c r="AO46" s="350"/>
      <c r="AP46" s="350"/>
      <c r="AQ46" s="350"/>
      <c r="AR46" s="350"/>
      <c r="AS46" s="350"/>
      <c r="AT46" s="350"/>
      <c r="AU46" s="350"/>
      <c r="AV46" s="350"/>
      <c r="AW46" s="350"/>
      <c r="AX46" s="350"/>
      <c r="AY46" s="350"/>
      <c r="AZ46" s="350"/>
      <c r="BA46" s="350"/>
      <c r="BB46" s="350"/>
      <c r="BC46" s="350"/>
      <c r="BD46" s="350"/>
      <c r="BE46" s="350"/>
      <c r="BF46" s="350"/>
      <c r="BG46" s="350"/>
      <c r="BH46" s="350"/>
      <c r="BI46" s="350"/>
    </row>
    <row r="47" spans="1:61" hidden="1" outlineLevel="1">
      <c r="A47" s="460" t="s">
        <v>744</v>
      </c>
      <c r="B47" s="461"/>
      <c r="C47" s="323"/>
      <c r="D47" s="323"/>
      <c r="E47" s="323"/>
      <c r="F47" s="323"/>
      <c r="G47" s="323"/>
      <c r="H47" s="323"/>
      <c r="I47" s="323"/>
      <c r="J47" s="323"/>
      <c r="K47" s="323"/>
      <c r="L47" s="323"/>
      <c r="M47" s="323"/>
      <c r="N47" s="323"/>
      <c r="O47" s="323"/>
      <c r="P47" s="462">
        <f>S64/SUM(S63:S66)</f>
        <v>7.9010259169068411E-2</v>
      </c>
      <c r="Q47" s="350"/>
      <c r="R47" s="350"/>
      <c r="S47" s="350"/>
      <c r="T47" s="350"/>
      <c r="U47" s="350"/>
      <c r="V47" s="350"/>
      <c r="W47" s="350"/>
      <c r="X47" s="350"/>
      <c r="Y47" s="350"/>
      <c r="Z47" s="350"/>
      <c r="AA47" s="350"/>
      <c r="AB47" s="350"/>
      <c r="AC47" s="350"/>
      <c r="AD47" s="350"/>
      <c r="AE47" s="350"/>
      <c r="AF47" s="350"/>
      <c r="AG47" s="350"/>
      <c r="AH47" s="350"/>
      <c r="AI47" s="350"/>
      <c r="AJ47" s="350"/>
      <c r="AK47" s="350"/>
      <c r="AL47" s="350"/>
      <c r="AM47" s="350"/>
      <c r="AN47" s="350"/>
      <c r="AO47" s="350"/>
      <c r="AP47" s="350"/>
      <c r="AQ47" s="350"/>
      <c r="AR47" s="350"/>
      <c r="AS47" s="350"/>
      <c r="AT47" s="350"/>
      <c r="AU47" s="350"/>
      <c r="AV47" s="350"/>
      <c r="AW47" s="350"/>
      <c r="AX47" s="350"/>
      <c r="AY47" s="350"/>
      <c r="AZ47" s="350"/>
      <c r="BA47" s="350"/>
      <c r="BB47" s="350"/>
      <c r="BC47" s="350"/>
      <c r="BD47" s="350"/>
      <c r="BE47" s="350"/>
      <c r="BF47" s="350"/>
      <c r="BG47" s="350"/>
      <c r="BH47" s="350"/>
      <c r="BI47" s="350"/>
    </row>
    <row r="48" spans="1:61" hidden="1" outlineLevel="1">
      <c r="A48" s="460" t="s">
        <v>745</v>
      </c>
      <c r="B48" s="461"/>
      <c r="C48" s="323"/>
      <c r="D48" s="323"/>
      <c r="E48" s="323"/>
      <c r="F48" s="323"/>
      <c r="G48" s="323"/>
      <c r="H48" s="323"/>
      <c r="I48" s="323"/>
      <c r="J48" s="323"/>
      <c r="K48" s="323"/>
      <c r="L48" s="323"/>
      <c r="M48" s="323"/>
      <c r="N48" s="323"/>
      <c r="O48" s="323"/>
      <c r="P48" s="462">
        <f>S65/SUM(S63:S66)</f>
        <v>0.87720161477660885</v>
      </c>
      <c r="Q48" s="350"/>
      <c r="R48" s="350"/>
      <c r="S48" s="350"/>
      <c r="T48" s="350"/>
      <c r="U48" s="350"/>
      <c r="V48" s="350"/>
      <c r="W48" s="350"/>
      <c r="X48" s="350"/>
      <c r="Y48" s="350"/>
      <c r="Z48" s="350"/>
      <c r="AA48" s="350"/>
      <c r="AB48" s="350"/>
      <c r="AC48" s="350"/>
      <c r="AD48" s="350"/>
      <c r="AE48" s="350"/>
      <c r="AF48" s="350"/>
      <c r="AG48" s="350"/>
      <c r="AH48" s="350"/>
      <c r="AI48" s="350"/>
      <c r="AJ48" s="350"/>
      <c r="AK48" s="350"/>
      <c r="AL48" s="350"/>
      <c r="AM48" s="350"/>
      <c r="AN48" s="350"/>
      <c r="AO48" s="350"/>
      <c r="AP48" s="350"/>
      <c r="AQ48" s="350"/>
      <c r="AR48" s="350"/>
      <c r="AS48" s="350"/>
      <c r="AT48" s="350"/>
      <c r="AU48" s="350"/>
      <c r="AV48" s="350"/>
      <c r="AW48" s="350"/>
      <c r="AX48" s="350"/>
      <c r="AY48" s="350"/>
      <c r="AZ48" s="350"/>
      <c r="BA48" s="350"/>
      <c r="BB48" s="350"/>
      <c r="BC48" s="350"/>
      <c r="BD48" s="350"/>
      <c r="BE48" s="350"/>
      <c r="BF48" s="350"/>
      <c r="BG48" s="350"/>
      <c r="BH48" s="350"/>
      <c r="BI48" s="350"/>
    </row>
    <row r="49" spans="1:61" hidden="1" outlineLevel="1">
      <c r="A49" s="463" t="s">
        <v>746</v>
      </c>
      <c r="B49" s="464"/>
      <c r="C49" s="465"/>
      <c r="D49" s="465"/>
      <c r="E49" s="465"/>
      <c r="F49" s="465"/>
      <c r="G49" s="465"/>
      <c r="H49" s="465"/>
      <c r="I49" s="465"/>
      <c r="J49" s="465"/>
      <c r="K49" s="465"/>
      <c r="L49" s="465"/>
      <c r="M49" s="465"/>
      <c r="N49" s="465"/>
      <c r="O49" s="465"/>
      <c r="P49" s="466">
        <f>100%-SUM(P46:P48)</f>
        <v>2.5600514074904712E-2</v>
      </c>
      <c r="Q49" s="350"/>
      <c r="R49" s="350"/>
      <c r="S49" s="350"/>
      <c r="T49" s="350"/>
      <c r="U49" s="350"/>
      <c r="V49" s="350"/>
      <c r="W49" s="350"/>
      <c r="X49" s="350"/>
      <c r="Y49" s="350"/>
      <c r="Z49" s="350"/>
      <c r="AA49" s="350"/>
      <c r="AB49" s="350"/>
      <c r="AC49" s="350"/>
      <c r="AD49" s="350"/>
      <c r="AE49" s="350"/>
      <c r="AF49" s="350"/>
      <c r="AG49" s="350"/>
      <c r="AH49" s="350"/>
      <c r="AI49" s="350"/>
      <c r="AJ49" s="350"/>
      <c r="AK49" s="350"/>
      <c r="AL49" s="350"/>
      <c r="AM49" s="350"/>
      <c r="AN49" s="350"/>
      <c r="AO49" s="350"/>
      <c r="AP49" s="350"/>
      <c r="AQ49" s="350"/>
      <c r="AR49" s="350"/>
      <c r="AS49" s="350"/>
      <c r="AT49" s="350"/>
      <c r="AU49" s="350"/>
      <c r="AV49" s="350"/>
      <c r="AW49" s="350"/>
      <c r="AX49" s="350"/>
      <c r="AY49" s="350"/>
      <c r="AZ49" s="350"/>
      <c r="BA49" s="350"/>
      <c r="BB49" s="350"/>
      <c r="BC49" s="350"/>
      <c r="BD49" s="350"/>
      <c r="BE49" s="350"/>
      <c r="BF49" s="350"/>
      <c r="BG49" s="350"/>
      <c r="BH49" s="350"/>
      <c r="BI49" s="350"/>
    </row>
    <row r="50" spans="1:61" hidden="1" outlineLevel="1">
      <c r="A50" s="236" t="s">
        <v>747</v>
      </c>
      <c r="B50" s="457"/>
      <c r="C50" s="237"/>
      <c r="D50" s="237"/>
      <c r="E50" s="237"/>
      <c r="F50" s="237"/>
      <c r="G50" s="237"/>
      <c r="H50" s="237"/>
      <c r="I50" s="237"/>
      <c r="J50" s="237"/>
      <c r="K50" s="237"/>
      <c r="L50" s="237"/>
      <c r="M50" s="237"/>
      <c r="N50" s="237"/>
      <c r="O50" s="237"/>
      <c r="P50" s="459"/>
      <c r="Q50" s="350"/>
      <c r="R50" s="350"/>
      <c r="S50" s="350"/>
      <c r="T50" s="350"/>
      <c r="U50" s="350"/>
      <c r="V50" s="350"/>
      <c r="W50" s="350"/>
      <c r="X50" s="350"/>
      <c r="Y50" s="350"/>
      <c r="Z50" s="350"/>
      <c r="AA50" s="350"/>
      <c r="AB50" s="350"/>
      <c r="AC50" s="350"/>
      <c r="AD50" s="350"/>
      <c r="AE50" s="350"/>
      <c r="AF50" s="350"/>
      <c r="AG50" s="350"/>
      <c r="AH50" s="350"/>
      <c r="AI50" s="350"/>
      <c r="AJ50" s="350"/>
      <c r="AK50" s="350"/>
      <c r="AL50" s="350"/>
      <c r="AM50" s="350"/>
      <c r="AN50" s="350"/>
      <c r="AO50" s="350"/>
      <c r="AP50" s="350"/>
      <c r="AQ50" s="350"/>
      <c r="AR50" s="350"/>
      <c r="AS50" s="350"/>
      <c r="AT50" s="350"/>
      <c r="AU50" s="350"/>
      <c r="AV50" s="350"/>
      <c r="AW50" s="350"/>
      <c r="AX50" s="350"/>
      <c r="AY50" s="350"/>
      <c r="AZ50" s="350"/>
      <c r="BA50" s="350"/>
      <c r="BB50" s="350"/>
      <c r="BC50" s="350"/>
      <c r="BD50" s="350"/>
      <c r="BE50" s="350"/>
      <c r="BF50" s="350"/>
      <c r="BG50" s="350"/>
      <c r="BH50" s="350"/>
      <c r="BI50" s="350"/>
    </row>
    <row r="51" spans="1:61" hidden="1" outlineLevel="1">
      <c r="A51" s="460" t="s">
        <v>161</v>
      </c>
      <c r="B51" s="461"/>
      <c r="C51" s="323"/>
      <c r="D51" s="323"/>
      <c r="E51" s="323"/>
      <c r="F51" s="323"/>
      <c r="G51" s="323"/>
      <c r="H51" s="323"/>
      <c r="I51" s="323"/>
      <c r="J51" s="323"/>
      <c r="K51" s="323"/>
      <c r="L51" s="323"/>
      <c r="M51" s="323"/>
      <c r="N51" s="323"/>
      <c r="O51" s="323"/>
      <c r="P51" s="462">
        <v>0.8</v>
      </c>
      <c r="Q51" s="350"/>
      <c r="R51" s="350"/>
      <c r="S51" s="350"/>
      <c r="T51" s="350"/>
      <c r="U51" s="350"/>
      <c r="V51" s="350"/>
      <c r="W51" s="350"/>
      <c r="X51" s="350"/>
      <c r="Y51" s="350"/>
      <c r="Z51" s="350"/>
      <c r="AA51" s="350"/>
      <c r="AB51" s="350"/>
      <c r="AC51" s="350"/>
      <c r="AD51" s="350"/>
      <c r="AE51" s="350"/>
      <c r="AF51" s="350"/>
      <c r="AG51" s="350"/>
      <c r="AH51" s="350"/>
      <c r="AI51" s="350"/>
      <c r="AJ51" s="350"/>
      <c r="AK51" s="350"/>
      <c r="AL51" s="350"/>
      <c r="AM51" s="350"/>
      <c r="AN51" s="350"/>
      <c r="AO51" s="350"/>
      <c r="AP51" s="350"/>
      <c r="AQ51" s="350"/>
      <c r="AR51" s="350"/>
      <c r="AS51" s="350"/>
      <c r="AT51" s="350"/>
      <c r="AU51" s="350"/>
      <c r="AV51" s="350"/>
      <c r="AW51" s="350"/>
      <c r="AX51" s="350"/>
      <c r="AY51" s="350"/>
      <c r="AZ51" s="350"/>
      <c r="BA51" s="350"/>
      <c r="BB51" s="350"/>
      <c r="BC51" s="350"/>
      <c r="BD51" s="350"/>
      <c r="BE51" s="350"/>
      <c r="BF51" s="350"/>
      <c r="BG51" s="350"/>
      <c r="BH51" s="350"/>
      <c r="BI51" s="350"/>
    </row>
    <row r="52" spans="1:61" hidden="1" outlineLevel="1">
      <c r="A52" s="463" t="s">
        <v>159</v>
      </c>
      <c r="B52" s="464"/>
      <c r="C52" s="465"/>
      <c r="D52" s="465"/>
      <c r="E52" s="465"/>
      <c r="F52" s="465"/>
      <c r="G52" s="465"/>
      <c r="H52" s="465"/>
      <c r="I52" s="465"/>
      <c r="J52" s="465"/>
      <c r="K52" s="465"/>
      <c r="L52" s="465"/>
      <c r="M52" s="465"/>
      <c r="N52" s="465"/>
      <c r="O52" s="465"/>
      <c r="P52" s="466">
        <f>(100%-P51)</f>
        <v>0.19999999999999996</v>
      </c>
      <c r="Q52" s="350"/>
      <c r="R52" s="350"/>
      <c r="S52" s="350"/>
      <c r="T52" s="350"/>
      <c r="U52" s="350"/>
      <c r="V52" s="350"/>
      <c r="W52" s="350"/>
      <c r="X52" s="350"/>
      <c r="Y52" s="350"/>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0"/>
      <c r="AZ52" s="350"/>
      <c r="BA52" s="350"/>
      <c r="BB52" s="350"/>
      <c r="BC52" s="350"/>
      <c r="BD52" s="350"/>
      <c r="BE52" s="350"/>
      <c r="BF52" s="350"/>
      <c r="BG52" s="350"/>
      <c r="BH52" s="350"/>
      <c r="BI52" s="350"/>
    </row>
    <row r="53" spans="1:61" hidden="1" outlineLevel="1">
      <c r="A53" s="228" t="s">
        <v>749</v>
      </c>
      <c r="B53" s="350"/>
      <c r="C53" s="350"/>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350"/>
      <c r="AI53" s="350"/>
      <c r="AJ53" s="350"/>
      <c r="AK53" s="350"/>
      <c r="AL53" s="350"/>
      <c r="AM53" s="350"/>
      <c r="AN53" s="350"/>
      <c r="AO53" s="350"/>
      <c r="AP53" s="350"/>
      <c r="AQ53" s="350"/>
      <c r="AR53" s="350"/>
      <c r="AS53" s="350"/>
      <c r="AT53" s="350"/>
      <c r="AU53" s="350"/>
      <c r="AV53" s="350"/>
      <c r="AW53" s="350"/>
      <c r="AX53" s="350"/>
      <c r="AY53" s="350"/>
      <c r="AZ53" s="350"/>
      <c r="BA53" s="350"/>
      <c r="BB53" s="350"/>
      <c r="BC53" s="350"/>
      <c r="BD53" s="350"/>
      <c r="BE53" s="350"/>
      <c r="BF53" s="350"/>
      <c r="BG53" s="350"/>
      <c r="BH53" s="350"/>
      <c r="BI53" s="350"/>
    </row>
    <row r="54" spans="1:61" hidden="1" outlineLevel="1">
      <c r="A54" s="871" t="s">
        <v>750</v>
      </c>
      <c r="B54" s="871"/>
      <c r="C54" s="871"/>
      <c r="D54" s="871"/>
      <c r="E54" s="871"/>
      <c r="F54" s="871"/>
      <c r="G54" s="871"/>
      <c r="H54" s="871"/>
      <c r="I54" s="871"/>
      <c r="J54" s="871"/>
      <c r="K54" s="871"/>
      <c r="L54" s="871"/>
      <c r="M54" s="871"/>
      <c r="N54" s="871"/>
      <c r="O54" s="871"/>
      <c r="P54" s="871"/>
      <c r="Q54" s="871"/>
      <c r="R54" s="871"/>
      <c r="S54" s="871"/>
      <c r="T54" s="871"/>
      <c r="U54" s="871"/>
      <c r="V54" s="871"/>
      <c r="W54" s="350"/>
      <c r="X54" s="350"/>
      <c r="Y54" s="350"/>
      <c r="Z54" s="350"/>
      <c r="AA54" s="350"/>
      <c r="AB54" s="350"/>
      <c r="AC54" s="350"/>
      <c r="AD54" s="350"/>
      <c r="AE54" s="350"/>
      <c r="AF54" s="350"/>
      <c r="AG54" s="350"/>
      <c r="AH54" s="350"/>
      <c r="AI54" s="350"/>
      <c r="AJ54" s="350"/>
      <c r="AK54" s="350"/>
      <c r="AL54" s="350"/>
      <c r="AM54" s="350"/>
      <c r="AN54" s="350"/>
      <c r="AO54" s="350"/>
      <c r="AP54" s="350"/>
      <c r="AQ54" s="350"/>
      <c r="AR54" s="350"/>
      <c r="AS54" s="350"/>
      <c r="AT54" s="350"/>
      <c r="AU54" s="350"/>
      <c r="AV54" s="350"/>
      <c r="AW54" s="350"/>
      <c r="AX54" s="350"/>
      <c r="AY54" s="350"/>
      <c r="AZ54" s="350"/>
      <c r="BA54" s="350"/>
      <c r="BB54" s="350"/>
      <c r="BC54" s="350"/>
      <c r="BD54" s="350"/>
      <c r="BE54" s="350"/>
      <c r="BF54" s="350"/>
      <c r="BG54" s="350"/>
      <c r="BH54" s="350"/>
      <c r="BI54" s="350"/>
    </row>
    <row r="55" spans="1:61" s="672" customFormat="1" hidden="1" outlineLevel="1">
      <c r="A55" s="871"/>
      <c r="B55" s="871"/>
      <c r="C55" s="871"/>
      <c r="D55" s="871"/>
      <c r="E55" s="871"/>
      <c r="F55" s="871"/>
      <c r="G55" s="871"/>
      <c r="H55" s="871"/>
      <c r="I55" s="871"/>
      <c r="J55" s="871"/>
      <c r="K55" s="871"/>
      <c r="L55" s="871"/>
      <c r="M55" s="871"/>
      <c r="N55" s="871"/>
      <c r="O55" s="871"/>
      <c r="P55" s="871"/>
      <c r="Q55" s="871"/>
      <c r="R55" s="871"/>
      <c r="S55" s="871"/>
      <c r="T55" s="871"/>
      <c r="U55" s="871"/>
      <c r="V55" s="871"/>
    </row>
    <row r="56" spans="1:61" s="672" customFormat="1" hidden="1" outlineLevel="1">
      <c r="A56" s="871"/>
      <c r="B56" s="871"/>
      <c r="C56" s="871"/>
      <c r="D56" s="871"/>
      <c r="E56" s="871"/>
      <c r="F56" s="871"/>
      <c r="G56" s="871"/>
      <c r="H56" s="871"/>
      <c r="I56" s="871"/>
      <c r="J56" s="871"/>
      <c r="K56" s="871"/>
      <c r="L56" s="871"/>
      <c r="M56" s="871"/>
      <c r="N56" s="871"/>
      <c r="O56" s="871"/>
      <c r="P56" s="871"/>
      <c r="Q56" s="871"/>
      <c r="R56" s="871"/>
      <c r="S56" s="871"/>
      <c r="T56" s="871"/>
      <c r="U56" s="871"/>
      <c r="V56" s="871"/>
    </row>
    <row r="57" spans="1:61" s="672" customFormat="1" hidden="1" outlineLevel="1">
      <c r="A57" s="871"/>
      <c r="B57" s="871"/>
      <c r="C57" s="871"/>
      <c r="D57" s="871"/>
      <c r="E57" s="871"/>
      <c r="F57" s="871"/>
      <c r="G57" s="871"/>
      <c r="H57" s="871"/>
      <c r="I57" s="871"/>
      <c r="J57" s="871"/>
      <c r="K57" s="871"/>
      <c r="L57" s="871"/>
      <c r="M57" s="871"/>
      <c r="N57" s="871"/>
      <c r="O57" s="871"/>
      <c r="P57" s="871"/>
      <c r="Q57" s="871"/>
      <c r="R57" s="871"/>
      <c r="S57" s="871"/>
      <c r="T57" s="871"/>
      <c r="U57" s="871"/>
      <c r="V57" s="871"/>
    </row>
    <row r="58" spans="1:61" s="672" customFormat="1" hidden="1" outlineLevel="1">
      <c r="A58" s="871"/>
      <c r="B58" s="871"/>
      <c r="C58" s="871"/>
      <c r="D58" s="871"/>
      <c r="E58" s="871"/>
      <c r="F58" s="871"/>
      <c r="G58" s="871"/>
      <c r="H58" s="871"/>
      <c r="I58" s="871"/>
      <c r="J58" s="871"/>
      <c r="K58" s="871"/>
      <c r="L58" s="871"/>
      <c r="M58" s="871"/>
      <c r="N58" s="871"/>
      <c r="O58" s="871"/>
      <c r="P58" s="871"/>
      <c r="Q58" s="871"/>
      <c r="R58" s="871"/>
      <c r="S58" s="871"/>
      <c r="T58" s="871"/>
      <c r="U58" s="871"/>
      <c r="V58" s="871"/>
    </row>
    <row r="59" spans="1:61" hidden="1" outlineLevel="1">
      <c r="A59" s="350"/>
      <c r="B59" s="35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c r="AL59" s="350"/>
      <c r="AM59" s="350"/>
      <c r="AN59" s="350"/>
      <c r="AO59" s="350"/>
      <c r="AP59" s="350"/>
      <c r="AQ59" s="350"/>
      <c r="AR59" s="350"/>
      <c r="AS59" s="350"/>
      <c r="AT59" s="350"/>
      <c r="AU59" s="350"/>
      <c r="AV59" s="350"/>
      <c r="AW59" s="350"/>
      <c r="AX59" s="350"/>
      <c r="AY59" s="350"/>
      <c r="AZ59" s="350"/>
      <c r="BA59" s="350"/>
      <c r="BB59" s="350"/>
      <c r="BC59" s="350"/>
      <c r="BD59" s="350"/>
      <c r="BE59" s="350"/>
      <c r="BF59" s="350"/>
      <c r="BG59" s="350"/>
      <c r="BH59" s="350"/>
      <c r="BI59" s="350"/>
    </row>
    <row r="60" spans="1:61" hidden="1" outlineLevel="1">
      <c r="A60" s="338" t="s">
        <v>751</v>
      </c>
      <c r="B60" s="350"/>
      <c r="C60" s="350"/>
      <c r="D60" s="350"/>
      <c r="E60" s="350"/>
      <c r="F60" s="350"/>
      <c r="G60" s="350"/>
      <c r="H60" s="350"/>
      <c r="I60" s="350"/>
      <c r="J60" s="350"/>
      <c r="K60" s="350"/>
      <c r="L60" s="350"/>
      <c r="M60" s="350"/>
      <c r="N60" s="350"/>
      <c r="O60" s="350"/>
      <c r="P60" s="350"/>
      <c r="Q60" s="350"/>
      <c r="R60" s="350"/>
      <c r="S60" s="350"/>
      <c r="T60" s="350"/>
      <c r="U60" s="350"/>
      <c r="V60" s="350"/>
      <c r="W60" s="350"/>
      <c r="X60" s="350"/>
      <c r="Y60" s="350"/>
      <c r="Z60" s="350"/>
      <c r="AA60" s="350"/>
      <c r="AB60" s="350"/>
      <c r="AC60" s="350"/>
      <c r="AD60" s="350"/>
      <c r="AE60" s="350"/>
      <c r="AF60" s="350"/>
      <c r="AG60" s="350"/>
      <c r="AH60" s="350"/>
      <c r="AI60" s="350"/>
      <c r="AJ60" s="350"/>
      <c r="AK60" s="350"/>
      <c r="AL60" s="350"/>
      <c r="AM60" s="350"/>
      <c r="AN60" s="350"/>
      <c r="AO60" s="350"/>
      <c r="AP60" s="350"/>
      <c r="AQ60" s="350"/>
      <c r="AR60" s="350"/>
      <c r="AS60" s="350"/>
      <c r="AT60" s="350"/>
      <c r="AU60" s="350"/>
      <c r="AV60" s="350"/>
      <c r="AW60" s="350"/>
      <c r="AX60" s="350"/>
      <c r="AY60" s="350"/>
      <c r="AZ60" s="350"/>
      <c r="BA60" s="350"/>
      <c r="BB60" s="350"/>
      <c r="BC60" s="350"/>
      <c r="BD60" s="350"/>
      <c r="BE60" s="350"/>
      <c r="BF60" s="350"/>
      <c r="BG60" s="350"/>
      <c r="BH60" s="350"/>
      <c r="BI60" s="350"/>
    </row>
    <row r="61" spans="1:61" ht="45" hidden="1" outlineLevel="1">
      <c r="A61" s="876" t="s">
        <v>163</v>
      </c>
      <c r="B61" s="876" t="s">
        <v>164</v>
      </c>
      <c r="C61" s="358"/>
      <c r="D61" s="358"/>
      <c r="E61" s="358"/>
      <c r="F61" s="358"/>
      <c r="G61" s="358"/>
      <c r="H61" s="358"/>
      <c r="I61" s="358"/>
      <c r="J61" s="358"/>
      <c r="K61" s="358"/>
      <c r="L61" s="358"/>
      <c r="M61" s="358"/>
      <c r="N61" s="358"/>
      <c r="O61" s="358"/>
      <c r="P61" s="836"/>
      <c r="Q61" s="359" t="s">
        <v>165</v>
      </c>
      <c r="R61" s="359" t="s">
        <v>166</v>
      </c>
      <c r="S61" s="359" t="s">
        <v>177</v>
      </c>
      <c r="T61" s="350"/>
      <c r="U61" s="350"/>
      <c r="V61" s="350"/>
      <c r="W61" s="350"/>
      <c r="X61" s="350"/>
      <c r="Y61" s="350"/>
      <c r="Z61" s="350"/>
      <c r="AA61" s="350"/>
      <c r="AB61" s="350"/>
      <c r="AC61" s="350"/>
      <c r="AD61" s="350"/>
      <c r="AE61" s="350"/>
      <c r="AF61" s="350"/>
      <c r="AG61" s="350"/>
      <c r="AH61" s="350"/>
      <c r="AI61" s="350"/>
      <c r="AJ61" s="350"/>
      <c r="AK61" s="350"/>
      <c r="AL61" s="350"/>
      <c r="AM61" s="350"/>
      <c r="AN61" s="350"/>
      <c r="AO61" s="350"/>
      <c r="AP61" s="350"/>
      <c r="AQ61" s="350"/>
      <c r="AR61" s="350"/>
      <c r="AS61" s="350"/>
      <c r="AT61" s="350"/>
      <c r="AU61" s="350"/>
      <c r="AV61" s="350"/>
      <c r="AW61" s="350"/>
      <c r="AX61" s="350"/>
      <c r="AY61" s="350"/>
      <c r="AZ61" s="350"/>
      <c r="BA61" s="350"/>
      <c r="BB61" s="350"/>
      <c r="BC61" s="350"/>
      <c r="BD61" s="350"/>
      <c r="BE61" s="350"/>
      <c r="BF61" s="350"/>
      <c r="BG61" s="350"/>
      <c r="BH61" s="350"/>
      <c r="BI61" s="350"/>
    </row>
    <row r="62" spans="1:61" ht="15.75" hidden="1" outlineLevel="1" thickBot="1">
      <c r="A62" s="877"/>
      <c r="B62" s="877"/>
      <c r="C62" s="360"/>
      <c r="D62" s="360"/>
      <c r="E62" s="360"/>
      <c r="F62" s="360"/>
      <c r="G62" s="360"/>
      <c r="H62" s="360"/>
      <c r="I62" s="360"/>
      <c r="J62" s="360"/>
      <c r="K62" s="360"/>
      <c r="L62" s="360"/>
      <c r="M62" s="360"/>
      <c r="N62" s="360"/>
      <c r="O62" s="360"/>
      <c r="P62" s="837"/>
      <c r="Q62" s="361" t="s">
        <v>167</v>
      </c>
      <c r="R62" s="361" t="s">
        <v>168</v>
      </c>
      <c r="S62" s="361" t="s">
        <v>169</v>
      </c>
      <c r="T62" s="350"/>
      <c r="U62" s="350"/>
      <c r="V62" s="350"/>
      <c r="W62" s="350"/>
      <c r="X62" s="350"/>
      <c r="Y62" s="350"/>
      <c r="Z62" s="350"/>
      <c r="AA62" s="350"/>
      <c r="AB62" s="350"/>
      <c r="AC62" s="350"/>
      <c r="AD62" s="350"/>
      <c r="AE62" s="350"/>
      <c r="AF62" s="350"/>
      <c r="AG62" s="350"/>
      <c r="AH62" s="350"/>
      <c r="AI62" s="350"/>
      <c r="AJ62" s="350"/>
      <c r="AK62" s="350"/>
      <c r="AL62" s="350"/>
      <c r="AM62" s="350"/>
      <c r="AN62" s="350"/>
      <c r="AO62" s="350"/>
      <c r="AP62" s="350"/>
      <c r="AQ62" s="350"/>
      <c r="AR62" s="350"/>
      <c r="AS62" s="350"/>
      <c r="AT62" s="350"/>
      <c r="AU62" s="350"/>
      <c r="AV62" s="350"/>
      <c r="AW62" s="350"/>
      <c r="AX62" s="350"/>
      <c r="AY62" s="350"/>
      <c r="AZ62" s="350"/>
      <c r="BA62" s="350"/>
      <c r="BB62" s="350"/>
      <c r="BC62" s="350"/>
      <c r="BD62" s="350"/>
      <c r="BE62" s="350"/>
      <c r="BF62" s="350"/>
      <c r="BG62" s="350"/>
      <c r="BH62" s="350"/>
      <c r="BI62" s="350"/>
    </row>
    <row r="63" spans="1:61" hidden="1" outlineLevel="1">
      <c r="A63" s="339" t="s">
        <v>162</v>
      </c>
      <c r="B63" s="351" t="s">
        <v>752</v>
      </c>
      <c r="C63" s="424"/>
      <c r="D63" s="424"/>
      <c r="E63" s="424"/>
      <c r="F63" s="424"/>
      <c r="G63" s="424"/>
      <c r="H63" s="424"/>
      <c r="I63" s="424"/>
      <c r="J63" s="424"/>
      <c r="K63" s="424"/>
      <c r="L63" s="424"/>
      <c r="M63" s="424"/>
      <c r="N63" s="424"/>
      <c r="O63" s="424"/>
      <c r="P63" s="351"/>
      <c r="Q63" s="340">
        <v>85570</v>
      </c>
      <c r="R63" s="341">
        <v>218962</v>
      </c>
      <c r="S63" s="340">
        <f>Q63*R63</f>
        <v>18736578340</v>
      </c>
      <c r="T63" s="350"/>
      <c r="U63" s="350"/>
      <c r="V63" s="350"/>
      <c r="W63" s="350"/>
      <c r="X63" s="350"/>
      <c r="Y63" s="350"/>
      <c r="Z63" s="350"/>
      <c r="AA63" s="350"/>
      <c r="AB63" s="350"/>
      <c r="AC63" s="350"/>
      <c r="AD63" s="350"/>
      <c r="AE63" s="350"/>
      <c r="AF63" s="350"/>
      <c r="AG63" s="350"/>
      <c r="AH63" s="350"/>
      <c r="AI63" s="350"/>
      <c r="AJ63" s="350"/>
      <c r="AK63" s="350"/>
      <c r="AL63" s="350"/>
      <c r="AM63" s="350"/>
      <c r="AN63" s="350"/>
      <c r="AO63" s="350"/>
      <c r="AP63" s="350"/>
      <c r="AQ63" s="350"/>
      <c r="AR63" s="350"/>
      <c r="AS63" s="350"/>
      <c r="AT63" s="350"/>
      <c r="AU63" s="350"/>
      <c r="AV63" s="350"/>
      <c r="AW63" s="350"/>
      <c r="AX63" s="350"/>
      <c r="AY63" s="350"/>
      <c r="AZ63" s="350"/>
      <c r="BA63" s="350"/>
      <c r="BB63" s="350"/>
      <c r="BC63" s="350"/>
      <c r="BD63" s="350"/>
      <c r="BE63" s="350"/>
      <c r="BF63" s="350"/>
      <c r="BG63" s="350"/>
      <c r="BH63" s="350"/>
      <c r="BI63" s="350"/>
    </row>
    <row r="64" spans="1:61" hidden="1" outlineLevel="1">
      <c r="A64" s="339" t="s">
        <v>162</v>
      </c>
      <c r="B64" s="351" t="s">
        <v>753</v>
      </c>
      <c r="C64" s="424"/>
      <c r="D64" s="424"/>
      <c r="E64" s="424"/>
      <c r="F64" s="424"/>
      <c r="G64" s="424"/>
      <c r="H64" s="424"/>
      <c r="I64" s="424"/>
      <c r="J64" s="424"/>
      <c r="K64" s="424"/>
      <c r="L64" s="424"/>
      <c r="M64" s="424"/>
      <c r="N64" s="424"/>
      <c r="O64" s="424"/>
      <c r="P64" s="351"/>
      <c r="Q64" s="340">
        <v>154221</v>
      </c>
      <c r="R64" s="341">
        <v>527782</v>
      </c>
      <c r="S64" s="340">
        <f>Q64*R64</f>
        <v>81395067822</v>
      </c>
      <c r="T64" s="350"/>
      <c r="U64" s="350"/>
      <c r="V64" s="350"/>
      <c r="W64" s="350"/>
      <c r="X64" s="350"/>
      <c r="Y64" s="350"/>
      <c r="Z64" s="350"/>
      <c r="AA64" s="350"/>
      <c r="AB64" s="350"/>
      <c r="AC64" s="350"/>
      <c r="AD64" s="350"/>
      <c r="AE64" s="350"/>
      <c r="AF64" s="350"/>
      <c r="AG64" s="350"/>
      <c r="AH64" s="350"/>
      <c r="AI64" s="350"/>
      <c r="AJ64" s="350"/>
      <c r="AK64" s="350"/>
      <c r="AL64" s="350"/>
      <c r="AM64" s="350"/>
      <c r="AN64" s="350"/>
      <c r="AO64" s="350"/>
      <c r="AP64" s="350"/>
      <c r="AQ64" s="350"/>
      <c r="AR64" s="350"/>
      <c r="AS64" s="350"/>
      <c r="AT64" s="350"/>
      <c r="AU64" s="350"/>
      <c r="AV64" s="350"/>
      <c r="AW64" s="350"/>
      <c r="AX64" s="350"/>
      <c r="AY64" s="350"/>
      <c r="AZ64" s="350"/>
      <c r="BA64" s="350"/>
      <c r="BB64" s="350"/>
      <c r="BC64" s="350"/>
      <c r="BD64" s="350"/>
      <c r="BE64" s="350"/>
      <c r="BF64" s="350"/>
      <c r="BG64" s="350"/>
      <c r="BH64" s="350"/>
      <c r="BI64" s="350"/>
    </row>
    <row r="65" spans="1:61" hidden="1" outlineLevel="1">
      <c r="A65" s="339" t="s">
        <v>162</v>
      </c>
      <c r="B65" s="351" t="s">
        <v>754</v>
      </c>
      <c r="C65" s="424"/>
      <c r="D65" s="424"/>
      <c r="E65" s="424"/>
      <c r="F65" s="424"/>
      <c r="G65" s="424"/>
      <c r="H65" s="424"/>
      <c r="I65" s="424"/>
      <c r="J65" s="424"/>
      <c r="K65" s="424"/>
      <c r="L65" s="424"/>
      <c r="M65" s="424"/>
      <c r="N65" s="424"/>
      <c r="O65" s="424"/>
      <c r="P65" s="351"/>
      <c r="Q65" s="340">
        <v>418033</v>
      </c>
      <c r="R65" s="341">
        <v>2161740</v>
      </c>
      <c r="S65" s="340">
        <f t="shared" ref="S65:S66" si="2">Q65*R65</f>
        <v>903678657420</v>
      </c>
      <c r="T65" s="350"/>
      <c r="U65" s="350"/>
      <c r="V65" s="350"/>
      <c r="W65" s="350"/>
      <c r="X65" s="350"/>
      <c r="Y65" s="350"/>
      <c r="Z65" s="350"/>
      <c r="AA65" s="350"/>
      <c r="AB65" s="350"/>
      <c r="AC65" s="350"/>
      <c r="AD65" s="350"/>
      <c r="AE65" s="350"/>
      <c r="AF65" s="350"/>
      <c r="AG65" s="350"/>
      <c r="AH65" s="350"/>
      <c r="AI65" s="350"/>
      <c r="AJ65" s="350"/>
      <c r="AK65" s="350"/>
      <c r="AL65" s="350"/>
      <c r="AM65" s="350"/>
      <c r="AN65" s="350"/>
      <c r="AO65" s="350"/>
      <c r="AP65" s="350"/>
      <c r="AQ65" s="350"/>
      <c r="AR65" s="350"/>
      <c r="AS65" s="350"/>
      <c r="AT65" s="350"/>
      <c r="AU65" s="350"/>
      <c r="AV65" s="350"/>
      <c r="AW65" s="350"/>
      <c r="AX65" s="350"/>
      <c r="AY65" s="350"/>
      <c r="AZ65" s="350"/>
      <c r="BA65" s="350"/>
      <c r="BB65" s="350"/>
      <c r="BC65" s="350"/>
      <c r="BD65" s="350"/>
      <c r="BE65" s="350"/>
      <c r="BF65" s="350"/>
      <c r="BG65" s="350"/>
      <c r="BH65" s="350"/>
      <c r="BI65" s="350"/>
    </row>
    <row r="66" spans="1:61" hidden="1" outlineLevel="1">
      <c r="A66" s="339" t="s">
        <v>162</v>
      </c>
      <c r="B66" s="351" t="s">
        <v>755</v>
      </c>
      <c r="C66" s="424"/>
      <c r="D66" s="424"/>
      <c r="E66" s="424"/>
      <c r="F66" s="424"/>
      <c r="G66" s="424"/>
      <c r="H66" s="424"/>
      <c r="I66" s="424"/>
      <c r="J66" s="424"/>
      <c r="K66" s="424"/>
      <c r="L66" s="424"/>
      <c r="M66" s="424"/>
      <c r="N66" s="424"/>
      <c r="O66" s="424"/>
      <c r="P66" s="351"/>
      <c r="Q66" s="340">
        <v>21350</v>
      </c>
      <c r="R66" s="341">
        <v>1235280</v>
      </c>
      <c r="S66" s="340">
        <f t="shared" si="2"/>
        <v>26373228000</v>
      </c>
      <c r="T66" s="350"/>
      <c r="U66" s="350"/>
      <c r="V66" s="350"/>
      <c r="W66" s="350"/>
      <c r="X66" s="350"/>
      <c r="Y66" s="350"/>
      <c r="Z66" s="350"/>
      <c r="AA66" s="350"/>
      <c r="AB66" s="350"/>
      <c r="AC66" s="350"/>
      <c r="AD66" s="350"/>
      <c r="AE66" s="350"/>
      <c r="AF66" s="350"/>
      <c r="AG66" s="350"/>
      <c r="AH66" s="350"/>
      <c r="AI66" s="350"/>
      <c r="AJ66" s="350"/>
      <c r="AK66" s="350"/>
      <c r="AL66" s="350"/>
      <c r="AM66" s="350"/>
      <c r="AN66" s="350"/>
      <c r="AO66" s="350"/>
      <c r="AP66" s="350"/>
      <c r="AQ66" s="350"/>
      <c r="AR66" s="350"/>
      <c r="AS66" s="350"/>
      <c r="AT66" s="350"/>
      <c r="AU66" s="350"/>
      <c r="AV66" s="350"/>
      <c r="AW66" s="350"/>
      <c r="AX66" s="350"/>
      <c r="AY66" s="350"/>
      <c r="AZ66" s="350"/>
      <c r="BA66" s="350"/>
      <c r="BB66" s="350"/>
      <c r="BC66" s="350"/>
      <c r="BD66" s="350"/>
      <c r="BE66" s="350"/>
      <c r="BF66" s="350"/>
      <c r="BG66" s="350"/>
      <c r="BH66" s="350"/>
      <c r="BI66" s="350"/>
    </row>
    <row r="67" spans="1:61" hidden="1" outlineLevel="1">
      <c r="A67" s="342" t="s">
        <v>756</v>
      </c>
      <c r="B67" s="350"/>
      <c r="C67" s="350"/>
      <c r="D67" s="350"/>
      <c r="E67" s="350"/>
      <c r="F67" s="350"/>
      <c r="G67" s="350"/>
      <c r="H67" s="350"/>
      <c r="I67" s="350"/>
      <c r="J67" s="350"/>
      <c r="K67" s="350"/>
      <c r="L67" s="350"/>
      <c r="M67" s="350"/>
      <c r="N67" s="350"/>
      <c r="O67" s="350"/>
      <c r="P67" s="350"/>
      <c r="Q67" s="350"/>
      <c r="R67" s="350"/>
      <c r="S67" s="350"/>
      <c r="T67" s="350"/>
      <c r="U67" s="350"/>
      <c r="V67" s="350"/>
      <c r="W67" s="350"/>
      <c r="X67" s="350"/>
      <c r="Y67" s="350"/>
      <c r="Z67" s="350"/>
      <c r="AA67" s="350"/>
      <c r="AB67" s="350"/>
      <c r="AC67" s="350"/>
      <c r="AD67" s="350"/>
      <c r="AE67" s="350"/>
      <c r="AF67" s="350"/>
      <c r="AG67" s="350"/>
      <c r="AH67" s="350"/>
      <c r="AI67" s="350"/>
      <c r="AJ67" s="350"/>
      <c r="AK67" s="350"/>
      <c r="AL67" s="350"/>
      <c r="AM67" s="350"/>
      <c r="AN67" s="350"/>
      <c r="AO67" s="350"/>
      <c r="AP67" s="350"/>
      <c r="AQ67" s="350"/>
      <c r="AR67" s="350"/>
      <c r="AS67" s="350"/>
      <c r="AT67" s="350"/>
      <c r="AU67" s="350"/>
      <c r="AV67" s="350"/>
      <c r="AW67" s="350"/>
      <c r="AX67" s="350"/>
      <c r="AY67" s="350"/>
      <c r="AZ67" s="350"/>
      <c r="BA67" s="350"/>
      <c r="BB67" s="350"/>
      <c r="BC67" s="350"/>
      <c r="BD67" s="350"/>
      <c r="BE67" s="350"/>
      <c r="BF67" s="350"/>
      <c r="BG67" s="350"/>
      <c r="BH67" s="350"/>
      <c r="BI67" s="350"/>
    </row>
    <row r="68" spans="1:61" hidden="1" outlineLevel="1">
      <c r="A68" s="338" t="s">
        <v>757</v>
      </c>
      <c r="B68" s="350"/>
      <c r="C68" s="350"/>
      <c r="D68" s="350"/>
      <c r="E68" s="350"/>
      <c r="F68" s="350"/>
      <c r="G68" s="350"/>
      <c r="H68" s="350"/>
      <c r="I68" s="350"/>
      <c r="J68" s="350"/>
      <c r="K68" s="350"/>
      <c r="L68" s="350"/>
      <c r="M68" s="350"/>
      <c r="N68" s="350"/>
      <c r="O68" s="350"/>
      <c r="P68" s="350"/>
      <c r="Q68" s="350"/>
      <c r="R68" s="350"/>
      <c r="S68" s="350"/>
      <c r="T68" s="350"/>
      <c r="U68" s="350"/>
      <c r="V68" s="350"/>
      <c r="W68" s="350"/>
      <c r="X68" s="350"/>
      <c r="Y68" s="350"/>
      <c r="Z68" s="350"/>
      <c r="AA68" s="350"/>
      <c r="AB68" s="350"/>
      <c r="AC68" s="350"/>
      <c r="AD68" s="350"/>
      <c r="AE68" s="350"/>
      <c r="AF68" s="350"/>
      <c r="AG68" s="350"/>
      <c r="AH68" s="350"/>
      <c r="AI68" s="350"/>
      <c r="AJ68" s="350"/>
      <c r="AK68" s="350"/>
      <c r="AL68" s="350"/>
      <c r="AM68" s="350"/>
      <c r="AN68" s="350"/>
      <c r="AO68" s="350"/>
      <c r="AP68" s="350"/>
      <c r="AQ68" s="350"/>
      <c r="AR68" s="350"/>
      <c r="AS68" s="350"/>
      <c r="AT68" s="350"/>
      <c r="AU68" s="350"/>
      <c r="AV68" s="350"/>
      <c r="AW68" s="350"/>
      <c r="AX68" s="350"/>
      <c r="AY68" s="350"/>
      <c r="AZ68" s="350"/>
      <c r="BA68" s="350"/>
      <c r="BB68" s="350"/>
      <c r="BC68" s="350"/>
      <c r="BD68" s="350"/>
      <c r="BE68" s="350"/>
      <c r="BF68" s="350"/>
      <c r="BG68" s="350"/>
      <c r="BH68" s="350"/>
      <c r="BI68" s="350"/>
    </row>
    <row r="69" spans="1:61" hidden="1" outlineLevel="1">
      <c r="A69" s="350"/>
      <c r="B69" s="350"/>
      <c r="C69" s="350"/>
      <c r="D69" s="350"/>
      <c r="E69" s="350"/>
      <c r="F69" s="350"/>
      <c r="G69" s="350"/>
      <c r="H69" s="350"/>
      <c r="I69" s="350"/>
      <c r="J69" s="350"/>
      <c r="K69" s="350"/>
      <c r="L69" s="350"/>
      <c r="M69" s="350"/>
      <c r="N69" s="350"/>
      <c r="O69" s="350"/>
      <c r="P69" s="350"/>
      <c r="Q69" s="350"/>
      <c r="R69" s="350"/>
      <c r="S69" s="350"/>
      <c r="T69" s="350"/>
      <c r="U69" s="350"/>
      <c r="V69" s="350"/>
      <c r="W69" s="350"/>
      <c r="X69" s="350"/>
      <c r="Y69" s="350"/>
      <c r="Z69" s="350"/>
      <c r="AA69" s="350"/>
      <c r="AB69" s="350"/>
      <c r="AC69" s="350"/>
      <c r="AD69" s="350"/>
      <c r="AE69" s="350"/>
      <c r="AF69" s="350"/>
      <c r="AG69" s="350"/>
      <c r="AH69" s="350"/>
      <c r="AI69" s="350"/>
      <c r="AJ69" s="350"/>
      <c r="AK69" s="350"/>
      <c r="AL69" s="350"/>
      <c r="AM69" s="350"/>
      <c r="AN69" s="350"/>
      <c r="AO69" s="350"/>
      <c r="AP69" s="350"/>
      <c r="AQ69" s="350"/>
      <c r="AR69" s="350"/>
      <c r="AS69" s="350"/>
      <c r="AT69" s="350"/>
      <c r="AU69" s="350"/>
      <c r="AV69" s="350"/>
      <c r="AW69" s="350"/>
      <c r="AX69" s="350"/>
      <c r="AY69" s="350"/>
      <c r="AZ69" s="350"/>
      <c r="BA69" s="350"/>
      <c r="BB69" s="350"/>
      <c r="BC69" s="350"/>
      <c r="BD69" s="350"/>
      <c r="BE69" s="350"/>
      <c r="BF69" s="350"/>
      <c r="BG69" s="350"/>
      <c r="BH69" s="350"/>
      <c r="BI69" s="350"/>
    </row>
    <row r="70" spans="1:61" s="350" customFormat="1" hidden="1" outlineLevel="1">
      <c r="A70" s="350" t="s">
        <v>125</v>
      </c>
      <c r="B70" s="144">
        <f>1/100</f>
        <v>0.01</v>
      </c>
    </row>
    <row r="71" spans="1:61" s="350" customFormat="1" hidden="1" outlineLevel="1"/>
    <row r="72" spans="1:61" s="350" customFormat="1" hidden="1" outlineLevel="1">
      <c r="A72" s="9" t="s">
        <v>2</v>
      </c>
      <c r="B72" s="6"/>
      <c r="C72" s="6"/>
      <c r="D72" s="6"/>
      <c r="E72" s="6"/>
      <c r="F72" s="6"/>
      <c r="G72" s="6"/>
      <c r="H72" s="6"/>
      <c r="I72" s="6"/>
      <c r="J72" s="6"/>
      <c r="K72" s="6"/>
      <c r="L72" s="6"/>
      <c r="M72" s="6"/>
      <c r="N72" s="6"/>
      <c r="O72" s="6"/>
      <c r="P72" s="6"/>
      <c r="Q72" s="6">
        <v>2016</v>
      </c>
    </row>
    <row r="73" spans="1:61" s="350" customFormat="1" hidden="1" outlineLevel="1">
      <c r="A73" s="8" t="s">
        <v>3</v>
      </c>
      <c r="B73" s="12"/>
      <c r="C73" s="12"/>
      <c r="D73" s="12"/>
      <c r="E73" s="12"/>
      <c r="F73" s="12"/>
      <c r="G73" s="12"/>
      <c r="H73" s="12"/>
      <c r="I73" s="12"/>
      <c r="J73" s="12"/>
      <c r="K73" s="12"/>
      <c r="L73" s="12"/>
      <c r="M73" s="12"/>
      <c r="N73" s="12"/>
      <c r="O73" s="12"/>
      <c r="P73" s="12"/>
      <c r="Q73" s="11">
        <f>Indeksacja!$Q$41</f>
        <v>4.3632</v>
      </c>
    </row>
    <row r="74" spans="1:61" s="350" customFormat="1" hidden="1" outlineLevel="1">
      <c r="A74" s="35" t="str">
        <f>Indeksacja!$A$42</f>
        <v>Źródło: ECB, http://sdw.ecb.europa.eu/quickview.do?SERIES_KEY=120.EXR.A.PLN.EUR.SP00.A</v>
      </c>
    </row>
    <row r="75" spans="1:61" s="350" customFormat="1" hidden="1" outlineLevel="1"/>
    <row r="76" spans="1:61" s="471" customFormat="1" hidden="1" outlineLevel="1">
      <c r="A76" s="9" t="s">
        <v>565</v>
      </c>
      <c r="B76" s="6"/>
      <c r="C76" s="6"/>
      <c r="D76" s="6"/>
      <c r="E76" s="6"/>
      <c r="F76" s="6"/>
      <c r="G76" s="6"/>
      <c r="H76" s="6"/>
      <c r="I76" s="6"/>
      <c r="J76" s="6"/>
      <c r="K76" s="6"/>
      <c r="L76" s="6"/>
      <c r="M76" s="6"/>
      <c r="N76" s="6"/>
      <c r="O76" s="6"/>
      <c r="P76" s="6"/>
      <c r="Q76" s="6">
        <v>2016</v>
      </c>
    </row>
    <row r="77" spans="1:61" s="471" customFormat="1" hidden="1" outlineLevel="1">
      <c r="A77" s="8" t="s">
        <v>62</v>
      </c>
      <c r="B77" s="484"/>
      <c r="C77" s="484"/>
      <c r="D77" s="484"/>
      <c r="E77" s="484"/>
      <c r="F77" s="484"/>
      <c r="G77" s="484"/>
      <c r="H77" s="484"/>
      <c r="I77" s="484"/>
      <c r="J77" s="484"/>
      <c r="K77" s="484"/>
      <c r="L77" s="484"/>
      <c r="M77" s="484"/>
      <c r="N77" s="484"/>
      <c r="O77" s="484"/>
      <c r="P77" s="484"/>
      <c r="Q77" s="470">
        <f>Indeksacja!$Q$44</f>
        <v>68.2</v>
      </c>
    </row>
    <row r="78" spans="1:61" s="471" customFormat="1" hidden="1" outlineLevel="1">
      <c r="A78" s="35" t="str">
        <f>Indeksacja!$A$45</f>
        <v>Źródło: Eurostat, https://ec.europa.eu/eurostat/data/database Main GDP aggregates per capita [nama_10_pc] (aktualizacja 28.01.2022)</v>
      </c>
    </row>
    <row r="79" spans="1:61" s="471" customFormat="1" hidden="1" outlineLevel="1"/>
    <row r="80" spans="1:61" s="592" customFormat="1" hidden="1" outlineLevel="1">
      <c r="A80" s="774" t="str">
        <f>'VoT czas ładunki'!$A$41</f>
        <v xml:space="preserve">Wyjaśnienie w sprawie przeliczenia wyjściowych wartości kosztów jednostkowych z zastosowaniem kursu walutowego PLN/EUR oraz PKB Polski per capita w jednostkach siły nabywczej (PPS): </v>
      </c>
      <c r="B80" s="774"/>
      <c r="C80" s="774"/>
      <c r="D80" s="774"/>
      <c r="E80" s="774"/>
      <c r="F80" s="774"/>
      <c r="G80" s="774"/>
      <c r="H80" s="774"/>
      <c r="I80" s="774"/>
      <c r="J80" s="774"/>
      <c r="K80" s="774"/>
      <c r="L80" s="774"/>
      <c r="M80" s="774"/>
      <c r="N80" s="774"/>
      <c r="O80" s="774"/>
      <c r="P80" s="774"/>
      <c r="Q80" s="774"/>
      <c r="R80" s="774"/>
      <c r="S80" s="774"/>
      <c r="T80" s="774"/>
      <c r="U80" s="774"/>
      <c r="V80" s="774"/>
    </row>
    <row r="81" spans="1:22" s="672" customFormat="1" hidden="1" outlineLevel="1">
      <c r="A81" s="774"/>
      <c r="B81" s="774"/>
      <c r="C81" s="774"/>
      <c r="D81" s="774"/>
      <c r="E81" s="774"/>
      <c r="F81" s="774"/>
      <c r="G81" s="774"/>
      <c r="H81" s="774"/>
      <c r="I81" s="774"/>
      <c r="J81" s="774"/>
      <c r="K81" s="774"/>
      <c r="L81" s="774"/>
      <c r="M81" s="774"/>
      <c r="N81" s="774"/>
      <c r="O81" s="774"/>
      <c r="P81" s="774"/>
      <c r="Q81" s="774"/>
      <c r="R81" s="774"/>
      <c r="S81" s="774"/>
      <c r="T81" s="774"/>
      <c r="U81" s="774"/>
      <c r="V81" s="774"/>
    </row>
    <row r="82" spans="1:22" s="592" customFormat="1" hidden="1" outlineLevel="1">
      <c r="A82" s="517" t="s">
        <v>511</v>
      </c>
    </row>
    <row r="83" spans="1:22" s="592" customFormat="1" hidden="1" outlineLevel="1"/>
    <row r="84" spans="1:22" s="672" customFormat="1" collapsed="1"/>
    <row r="85" spans="1:22" s="672" customFormat="1"/>
    <row r="86" spans="1:22" s="672" customFormat="1"/>
    <row r="87" spans="1:22" s="672" customFormat="1"/>
    <row r="88" spans="1:22" s="672" customFormat="1"/>
    <row r="89" spans="1:22" s="672" customFormat="1"/>
    <row r="90" spans="1:22" s="672" customFormat="1"/>
    <row r="91" spans="1:22" s="672" customFormat="1"/>
    <row r="92" spans="1:22" s="672" customFormat="1"/>
    <row r="93" spans="1:22" s="672" customFormat="1"/>
    <row r="94" spans="1:22" s="672" customFormat="1"/>
    <row r="95" spans="1:22" s="672" customFormat="1"/>
    <row r="96" spans="1:22" s="672" customFormat="1"/>
    <row r="97" spans="1:61" s="672" customFormat="1"/>
    <row r="98" spans="1:61">
      <c r="A98" s="874" t="s">
        <v>921</v>
      </c>
      <c r="B98" s="874"/>
      <c r="C98" s="874"/>
      <c r="D98" s="874"/>
      <c r="E98" s="874"/>
      <c r="F98" s="874"/>
      <c r="G98" s="874"/>
      <c r="H98" s="874"/>
      <c r="I98" s="874"/>
      <c r="J98" s="874"/>
      <c r="K98" s="874"/>
      <c r="L98" s="874"/>
      <c r="M98" s="874"/>
      <c r="N98" s="874"/>
      <c r="O98" s="874"/>
      <c r="P98" s="874"/>
      <c r="Q98" s="874"/>
      <c r="R98" s="874"/>
      <c r="S98" s="874"/>
      <c r="T98" s="874"/>
      <c r="U98" s="874"/>
      <c r="V98" s="874"/>
      <c r="W98" s="350"/>
      <c r="X98" s="350"/>
      <c r="Y98" s="350"/>
      <c r="Z98" s="350"/>
      <c r="AA98" s="350"/>
      <c r="AB98" s="350"/>
      <c r="AC98" s="350"/>
      <c r="AD98" s="350"/>
      <c r="AE98" s="350"/>
      <c r="AF98" s="350"/>
      <c r="AG98" s="350"/>
      <c r="AH98" s="350"/>
      <c r="AI98" s="350"/>
      <c r="AJ98" s="350"/>
      <c r="AK98" s="350"/>
      <c r="AL98" s="350"/>
      <c r="AM98" s="350"/>
      <c r="AN98" s="350"/>
      <c r="AO98" s="350"/>
      <c r="AP98" s="350"/>
      <c r="AQ98" s="350"/>
      <c r="AR98" s="350"/>
      <c r="AS98" s="350"/>
      <c r="AT98" s="350"/>
      <c r="AU98" s="350"/>
      <c r="AV98" s="350"/>
      <c r="AW98" s="350"/>
      <c r="AX98" s="350"/>
      <c r="AY98" s="350"/>
      <c r="AZ98" s="350"/>
      <c r="BA98" s="350"/>
      <c r="BB98" s="350"/>
      <c r="BC98" s="350"/>
      <c r="BD98" s="350"/>
      <c r="BE98" s="350"/>
      <c r="BF98" s="350"/>
      <c r="BG98" s="350"/>
      <c r="BH98" s="350"/>
      <c r="BI98" s="350"/>
    </row>
    <row r="99" spans="1:61" s="672" customFormat="1">
      <c r="A99" s="875"/>
      <c r="B99" s="875"/>
      <c r="C99" s="875"/>
      <c r="D99" s="875"/>
      <c r="E99" s="875"/>
      <c r="F99" s="875"/>
      <c r="G99" s="875"/>
      <c r="H99" s="875"/>
      <c r="I99" s="875"/>
      <c r="J99" s="875"/>
      <c r="K99" s="875"/>
      <c r="L99" s="875"/>
      <c r="M99" s="875"/>
      <c r="N99" s="875"/>
      <c r="O99" s="875"/>
      <c r="P99" s="875"/>
      <c r="Q99" s="875"/>
      <c r="R99" s="875"/>
      <c r="S99" s="875"/>
      <c r="T99" s="875"/>
      <c r="U99" s="875"/>
      <c r="V99" s="875"/>
    </row>
    <row r="100" spans="1:61">
      <c r="A100" s="783" t="s">
        <v>193</v>
      </c>
      <c r="B100" s="663" t="s">
        <v>309</v>
      </c>
      <c r="C100" s="649"/>
      <c r="D100" s="649"/>
      <c r="E100" s="649"/>
      <c r="F100" s="649"/>
      <c r="G100" s="649"/>
      <c r="H100" s="649"/>
      <c r="I100" s="649"/>
      <c r="J100" s="649"/>
      <c r="K100" s="649"/>
      <c r="L100" s="649"/>
      <c r="M100" s="649"/>
      <c r="N100" s="649"/>
      <c r="O100" s="649"/>
      <c r="P100" s="652"/>
      <c r="Q100" s="6"/>
      <c r="R100" s="6"/>
      <c r="S100" s="6"/>
      <c r="T100" s="6">
        <v>2020</v>
      </c>
      <c r="U100" s="6">
        <f>T100+1</f>
        <v>2021</v>
      </c>
      <c r="V100" s="6">
        <f t="shared" ref="V100:BI100" si="3">U100+1</f>
        <v>2022</v>
      </c>
      <c r="W100" s="6">
        <f t="shared" si="3"/>
        <v>2023</v>
      </c>
      <c r="X100" s="6">
        <f t="shared" si="3"/>
        <v>2024</v>
      </c>
      <c r="Y100" s="6">
        <f t="shared" si="3"/>
        <v>2025</v>
      </c>
      <c r="Z100" s="6">
        <f t="shared" si="3"/>
        <v>2026</v>
      </c>
      <c r="AA100" s="6">
        <f t="shared" si="3"/>
        <v>2027</v>
      </c>
      <c r="AB100" s="6">
        <f t="shared" si="3"/>
        <v>2028</v>
      </c>
      <c r="AC100" s="6">
        <f t="shared" si="3"/>
        <v>2029</v>
      </c>
      <c r="AD100" s="6">
        <f t="shared" si="3"/>
        <v>2030</v>
      </c>
      <c r="AE100" s="6">
        <f t="shared" si="3"/>
        <v>2031</v>
      </c>
      <c r="AF100" s="6">
        <f t="shared" si="3"/>
        <v>2032</v>
      </c>
      <c r="AG100" s="6">
        <f t="shared" si="3"/>
        <v>2033</v>
      </c>
      <c r="AH100" s="6">
        <f t="shared" si="3"/>
        <v>2034</v>
      </c>
      <c r="AI100" s="6">
        <f t="shared" si="3"/>
        <v>2035</v>
      </c>
      <c r="AJ100" s="6">
        <f t="shared" si="3"/>
        <v>2036</v>
      </c>
      <c r="AK100" s="6">
        <f t="shared" si="3"/>
        <v>2037</v>
      </c>
      <c r="AL100" s="6">
        <f t="shared" si="3"/>
        <v>2038</v>
      </c>
      <c r="AM100" s="6">
        <f t="shared" si="3"/>
        <v>2039</v>
      </c>
      <c r="AN100" s="6">
        <f t="shared" si="3"/>
        <v>2040</v>
      </c>
      <c r="AO100" s="6">
        <f t="shared" si="3"/>
        <v>2041</v>
      </c>
      <c r="AP100" s="6">
        <f t="shared" si="3"/>
        <v>2042</v>
      </c>
      <c r="AQ100" s="6">
        <f t="shared" si="3"/>
        <v>2043</v>
      </c>
      <c r="AR100" s="6">
        <f t="shared" si="3"/>
        <v>2044</v>
      </c>
      <c r="AS100" s="6">
        <f t="shared" si="3"/>
        <v>2045</v>
      </c>
      <c r="AT100" s="6">
        <f t="shared" si="3"/>
        <v>2046</v>
      </c>
      <c r="AU100" s="6">
        <f t="shared" si="3"/>
        <v>2047</v>
      </c>
      <c r="AV100" s="6">
        <f t="shared" si="3"/>
        <v>2048</v>
      </c>
      <c r="AW100" s="6">
        <f t="shared" si="3"/>
        <v>2049</v>
      </c>
      <c r="AX100" s="6">
        <f t="shared" si="3"/>
        <v>2050</v>
      </c>
      <c r="AY100" s="6">
        <f t="shared" si="3"/>
        <v>2051</v>
      </c>
      <c r="AZ100" s="6">
        <f t="shared" si="3"/>
        <v>2052</v>
      </c>
      <c r="BA100" s="6">
        <f t="shared" si="3"/>
        <v>2053</v>
      </c>
      <c r="BB100" s="6">
        <f t="shared" si="3"/>
        <v>2054</v>
      </c>
      <c r="BC100" s="6">
        <f t="shared" si="3"/>
        <v>2055</v>
      </c>
      <c r="BD100" s="6">
        <f t="shared" si="3"/>
        <v>2056</v>
      </c>
      <c r="BE100" s="6">
        <f t="shared" si="3"/>
        <v>2057</v>
      </c>
      <c r="BF100" s="6">
        <f t="shared" si="3"/>
        <v>2058</v>
      </c>
      <c r="BG100" s="6">
        <f t="shared" si="3"/>
        <v>2059</v>
      </c>
      <c r="BH100" s="6">
        <f t="shared" si="3"/>
        <v>2060</v>
      </c>
      <c r="BI100" s="6">
        <f t="shared" si="3"/>
        <v>2061</v>
      </c>
    </row>
    <row r="101" spans="1:61">
      <c r="A101" s="785"/>
      <c r="B101" s="664" t="s">
        <v>510</v>
      </c>
      <c r="C101" s="659"/>
      <c r="D101" s="659"/>
      <c r="E101" s="659"/>
      <c r="F101" s="659"/>
      <c r="G101" s="659"/>
      <c r="H101" s="659"/>
      <c r="I101" s="659"/>
      <c r="J101" s="659"/>
      <c r="K101" s="659"/>
      <c r="L101" s="659"/>
      <c r="M101" s="659"/>
      <c r="N101" s="659"/>
      <c r="O101" s="659"/>
      <c r="P101" s="665"/>
      <c r="Q101" s="661">
        <f>DATE(2016,12,31)</f>
        <v>42735</v>
      </c>
      <c r="R101" s="661">
        <f>DATE(YEAR(Q101+1),12,31)</f>
        <v>43100</v>
      </c>
      <c r="S101" s="661">
        <f t="shared" ref="S101" si="4">DATE(YEAR(R101+1),12,31)</f>
        <v>43465</v>
      </c>
      <c r="T101" s="661">
        <f>DATE(YEAR(S101+1),12,31)</f>
        <v>43830</v>
      </c>
      <c r="U101" s="661">
        <f t="shared" ref="U101:BI101" si="5">DATE(YEAR(T101+1),12,31)</f>
        <v>44196</v>
      </c>
      <c r="V101" s="661">
        <f t="shared" si="5"/>
        <v>44561</v>
      </c>
      <c r="W101" s="661">
        <f t="shared" si="5"/>
        <v>44926</v>
      </c>
      <c r="X101" s="661">
        <f t="shared" si="5"/>
        <v>45291</v>
      </c>
      <c r="Y101" s="661">
        <f t="shared" si="5"/>
        <v>45657</v>
      </c>
      <c r="Z101" s="661">
        <f t="shared" si="5"/>
        <v>46022</v>
      </c>
      <c r="AA101" s="661">
        <f t="shared" si="5"/>
        <v>46387</v>
      </c>
      <c r="AB101" s="661">
        <f t="shared" si="5"/>
        <v>46752</v>
      </c>
      <c r="AC101" s="661">
        <f t="shared" si="5"/>
        <v>47118</v>
      </c>
      <c r="AD101" s="661">
        <f t="shared" si="5"/>
        <v>47483</v>
      </c>
      <c r="AE101" s="661">
        <f t="shared" si="5"/>
        <v>47848</v>
      </c>
      <c r="AF101" s="661">
        <f t="shared" si="5"/>
        <v>48213</v>
      </c>
      <c r="AG101" s="661">
        <f t="shared" si="5"/>
        <v>48579</v>
      </c>
      <c r="AH101" s="661">
        <f t="shared" si="5"/>
        <v>48944</v>
      </c>
      <c r="AI101" s="661">
        <f t="shared" si="5"/>
        <v>49309</v>
      </c>
      <c r="AJ101" s="661">
        <f t="shared" si="5"/>
        <v>49674</v>
      </c>
      <c r="AK101" s="661">
        <f t="shared" si="5"/>
        <v>50040</v>
      </c>
      <c r="AL101" s="661">
        <f t="shared" si="5"/>
        <v>50405</v>
      </c>
      <c r="AM101" s="661">
        <f t="shared" si="5"/>
        <v>50770</v>
      </c>
      <c r="AN101" s="661">
        <f t="shared" si="5"/>
        <v>51135</v>
      </c>
      <c r="AO101" s="661">
        <f t="shared" si="5"/>
        <v>51501</v>
      </c>
      <c r="AP101" s="661">
        <f t="shared" si="5"/>
        <v>51866</v>
      </c>
      <c r="AQ101" s="661">
        <f t="shared" si="5"/>
        <v>52231</v>
      </c>
      <c r="AR101" s="661">
        <f t="shared" si="5"/>
        <v>52596</v>
      </c>
      <c r="AS101" s="661">
        <f t="shared" si="5"/>
        <v>52962</v>
      </c>
      <c r="AT101" s="661">
        <f t="shared" si="5"/>
        <v>53327</v>
      </c>
      <c r="AU101" s="661">
        <f t="shared" si="5"/>
        <v>53692</v>
      </c>
      <c r="AV101" s="661">
        <f t="shared" si="5"/>
        <v>54057</v>
      </c>
      <c r="AW101" s="661">
        <f t="shared" si="5"/>
        <v>54423</v>
      </c>
      <c r="AX101" s="661">
        <f t="shared" si="5"/>
        <v>54788</v>
      </c>
      <c r="AY101" s="661">
        <f t="shared" si="5"/>
        <v>55153</v>
      </c>
      <c r="AZ101" s="661">
        <f t="shared" si="5"/>
        <v>55518</v>
      </c>
      <c r="BA101" s="661">
        <f t="shared" si="5"/>
        <v>55884</v>
      </c>
      <c r="BB101" s="661">
        <f t="shared" si="5"/>
        <v>56249</v>
      </c>
      <c r="BC101" s="661">
        <f t="shared" si="5"/>
        <v>56614</v>
      </c>
      <c r="BD101" s="661">
        <f t="shared" si="5"/>
        <v>56979</v>
      </c>
      <c r="BE101" s="661">
        <f t="shared" si="5"/>
        <v>57345</v>
      </c>
      <c r="BF101" s="661">
        <f t="shared" si="5"/>
        <v>57710</v>
      </c>
      <c r="BG101" s="661">
        <f t="shared" si="5"/>
        <v>58075</v>
      </c>
      <c r="BH101" s="661">
        <f t="shared" si="5"/>
        <v>58440</v>
      </c>
      <c r="BI101" s="661">
        <f t="shared" si="5"/>
        <v>58806</v>
      </c>
    </row>
    <row r="102" spans="1:61">
      <c r="A102" s="337" t="s">
        <v>491</v>
      </c>
      <c r="B102" s="334"/>
      <c r="C102" s="334"/>
      <c r="D102" s="334"/>
      <c r="E102" s="334"/>
      <c r="F102" s="334"/>
      <c r="G102" s="334"/>
      <c r="H102" s="334"/>
      <c r="I102" s="334"/>
      <c r="J102" s="334"/>
      <c r="K102" s="334"/>
      <c r="L102" s="334"/>
      <c r="M102" s="334"/>
      <c r="N102" s="334"/>
      <c r="O102" s="334"/>
      <c r="P102" s="334"/>
      <c r="Q102" s="343">
        <f>Q13*$B$70*$Q$73*$Q$77/100</f>
        <v>2.9640024594351597E-2</v>
      </c>
      <c r="R102" s="344">
        <f>Q102*Indeksacja!R$61</f>
        <v>3.1466305093180678E-2</v>
      </c>
      <c r="S102" s="335">
        <f>R102*Indeksacja!S$61</f>
        <v>3.3479622837011551E-2</v>
      </c>
      <c r="T102" s="335">
        <f>S102*Indeksacja!T$61</f>
        <v>3.548355723489769E-2</v>
      </c>
      <c r="U102" s="335">
        <f>T102*Indeksacja!U$61</f>
        <v>3.6098426939440799E-2</v>
      </c>
      <c r="V102" s="335">
        <f>U102*Indeksacja!V$61</f>
        <v>4.0043698214676751E-2</v>
      </c>
      <c r="W102" s="335">
        <f>V102*Indeksacja!W$61</f>
        <v>4.7869962269799227E-2</v>
      </c>
      <c r="X102" s="335">
        <f>W102*Indeksacja!X$61</f>
        <v>5.3412755650993848E-2</v>
      </c>
      <c r="Y102" s="335">
        <f>X102*Indeksacja!Y$61</f>
        <v>5.4876755229670837E-2</v>
      </c>
      <c r="Z102" s="335">
        <f>Y102*Indeksacja!Z$61</f>
        <v>5.6646955092539482E-2</v>
      </c>
      <c r="AA102" s="335">
        <f>Z102*Indeksacja!AA$61</f>
        <v>5.8342814606587121E-2</v>
      </c>
      <c r="AB102" s="335">
        <f>AA102*Indeksacja!AB$61</f>
        <v>5.9786946279037155E-2</v>
      </c>
      <c r="AC102" s="335">
        <f>AB102*Indeksacja!AC$61</f>
        <v>6.1272016108574745E-2</v>
      </c>
      <c r="AD102" s="335">
        <f>AC102*Indeksacja!AD$61</f>
        <v>6.2753988997557214E-2</v>
      </c>
      <c r="AE102" s="335">
        <f>AD102*Indeksacja!AE$61</f>
        <v>6.4229828950923995E-2</v>
      </c>
      <c r="AF102" s="335">
        <f>AE102*Indeksacja!AF$61</f>
        <v>6.5614828219581728E-2</v>
      </c>
      <c r="AG102" s="335">
        <f>AF102*Indeksacja!AG$61</f>
        <v>6.6945907259669105E-2</v>
      </c>
      <c r="AH102" s="335">
        <f>AG102*Indeksacja!AH$61</f>
        <v>6.8322969231721362E-2</v>
      </c>
      <c r="AI102" s="335">
        <f>AH102*Indeksacja!AI$61</f>
        <v>6.9739789231888977E-2</v>
      </c>
      <c r="AJ102" s="335">
        <f>AI102*Indeksacja!AJ$61</f>
        <v>7.1085143814448457E-2</v>
      </c>
      <c r="AK102" s="335">
        <f>AJ102*Indeksacja!AK$61</f>
        <v>7.2409319135930544E-2</v>
      </c>
      <c r="AL102" s="335">
        <f>AK102*Indeksacja!AL$61</f>
        <v>7.3705350197964439E-2</v>
      </c>
      <c r="AM102" s="335">
        <f>AL102*Indeksacja!AM$61</f>
        <v>7.4973732179350119E-2</v>
      </c>
      <c r="AN102" s="335">
        <f>AM102*Indeksacja!AN$61</f>
        <v>7.6150405894781961E-2</v>
      </c>
      <c r="AO102" s="335">
        <f>AN102*Indeksacja!AO$61</f>
        <v>7.7228958963736466E-2</v>
      </c>
      <c r="AP102" s="335">
        <f>AO102*Indeksacja!AP$61</f>
        <v>7.8266112427176279E-2</v>
      </c>
      <c r="AQ102" s="335">
        <f>AP102*Indeksacja!AQ$61</f>
        <v>7.9196166561629797E-2</v>
      </c>
      <c r="AR102" s="335">
        <f>AQ102*Indeksacja!AR$61</f>
        <v>8.0074229449162648E-2</v>
      </c>
      <c r="AS102" s="335">
        <f>AR102*Indeksacja!AS$61</f>
        <v>8.0966680233714311E-2</v>
      </c>
      <c r="AT102" s="335">
        <f>AS102*Indeksacja!AT$61</f>
        <v>8.1878582299453689E-2</v>
      </c>
      <c r="AU102" s="335">
        <f>AT102*Indeksacja!AU$61</f>
        <v>8.2805131619384686E-2</v>
      </c>
      <c r="AV102" s="335">
        <f>AU102*Indeksacja!AV$61</f>
        <v>8.3746483975206495E-2</v>
      </c>
      <c r="AW102" s="335">
        <f>AV102*Indeksacja!AW$61</f>
        <v>8.4703767046565348E-2</v>
      </c>
      <c r="AX102" s="335">
        <f>AW102*Indeksacja!AX$61</f>
        <v>8.5605217295974062E-2</v>
      </c>
      <c r="AY102" s="335">
        <f>AX102*Indeksacja!AY$61</f>
        <v>8.6522575295807536E-2</v>
      </c>
      <c r="AZ102" s="335">
        <f>AY102*Indeksacja!AZ$61</f>
        <v>8.745676531535003E-2</v>
      </c>
      <c r="BA102" s="335">
        <f>AZ102*Indeksacja!BA$61</f>
        <v>8.841459885796632E-2</v>
      </c>
      <c r="BB102" s="335">
        <f>BA102*Indeksacja!BB$61</f>
        <v>8.9462368351893501E-2</v>
      </c>
      <c r="BC102" s="335">
        <f>BB102*Indeksacja!BC$61</f>
        <v>9.0531719340361694E-2</v>
      </c>
      <c r="BD102" s="335">
        <f>BC102*Indeksacja!BD$61</f>
        <v>9.1624141875882664E-2</v>
      </c>
      <c r="BE102" s="335">
        <f>BD102*Indeksacja!BE$61</f>
        <v>9.2740043971492742E-2</v>
      </c>
      <c r="BF102" s="335">
        <f>BE102*Indeksacja!BF$61</f>
        <v>9.3954764840228591E-2</v>
      </c>
      <c r="BG102" s="335">
        <f>BF102*Indeksacja!BG$61</f>
        <v>9.5202655663203142E-2</v>
      </c>
      <c r="BH102" s="335">
        <f>BG102*Indeksacja!BH$61</f>
        <v>9.6478321479135903E-2</v>
      </c>
      <c r="BI102" s="335">
        <f>BH102*Indeksacja!BI$61</f>
        <v>9.7854510955632815E-2</v>
      </c>
    </row>
    <row r="103" spans="1:61">
      <c r="A103" s="337" t="s">
        <v>492</v>
      </c>
      <c r="B103" s="334"/>
      <c r="C103" s="334"/>
      <c r="D103" s="334"/>
      <c r="E103" s="334"/>
      <c r="F103" s="334"/>
      <c r="G103" s="334"/>
      <c r="H103" s="334"/>
      <c r="I103" s="334"/>
      <c r="J103" s="334"/>
      <c r="K103" s="334"/>
      <c r="L103" s="334"/>
      <c r="M103" s="334"/>
      <c r="N103" s="334"/>
      <c r="O103" s="334"/>
      <c r="P103" s="334"/>
      <c r="Q103" s="343">
        <f>Q16*$B$70*$Q$73*$Q$77/100</f>
        <v>0.23538805391701523</v>
      </c>
      <c r="R103" s="344">
        <f>Q103*Indeksacja!R$61</f>
        <v>0.24989157131989534</v>
      </c>
      <c r="S103" s="335">
        <f>R103*Indeksacja!S$61</f>
        <v>0.26588045635365659</v>
      </c>
      <c r="T103" s="335">
        <f>S103*Indeksacja!T$61</f>
        <v>0.28179482297620234</v>
      </c>
      <c r="U103" s="335">
        <f>T103*Indeksacja!U$61</f>
        <v>0.28667784804604363</v>
      </c>
      <c r="V103" s="335">
        <f>U103*Indeksacja!V$61</f>
        <v>0.31800945928328478</v>
      </c>
      <c r="W103" s="335">
        <f>V103*Indeksacja!W$61</f>
        <v>0.38016221018643448</v>
      </c>
      <c r="X103" s="335">
        <f>W103*Indeksacja!X$61</f>
        <v>0.42418064016817436</v>
      </c>
      <c r="Y103" s="335">
        <f>X103*Indeksacja!Y$61</f>
        <v>0.43580708165991916</v>
      </c>
      <c r="Z103" s="335">
        <f>Y103*Indeksacja!Z$61</f>
        <v>0.4498652312892627</v>
      </c>
      <c r="AA103" s="335">
        <f>Z103*Indeksacja!AA$61</f>
        <v>0.46333300252736076</v>
      </c>
      <c r="AB103" s="335">
        <f>AA103*Indeksacja!AB$61</f>
        <v>0.47480166183618999</v>
      </c>
      <c r="AC103" s="335">
        <f>AB103*Indeksacja!AC$61</f>
        <v>0.48659543400371857</v>
      </c>
      <c r="AD103" s="335">
        <f>AC103*Indeksacja!AD$61</f>
        <v>0.4983646116299017</v>
      </c>
      <c r="AE103" s="335">
        <f>AD103*Indeksacja!AE$61</f>
        <v>0.51008508417573717</v>
      </c>
      <c r="AF103" s="335">
        <f>AE103*Indeksacja!AF$61</f>
        <v>0.52108413991160729</v>
      </c>
      <c r="AG103" s="335">
        <f>AF103*Indeksacja!AG$61</f>
        <v>0.53165498488032581</v>
      </c>
      <c r="AH103" s="335">
        <f>AG103*Indeksacja!AH$61</f>
        <v>0.54259100609355648</v>
      </c>
      <c r="AI103" s="335">
        <f>AH103*Indeksacja!AI$61</f>
        <v>0.55384276809964172</v>
      </c>
      <c r="AJ103" s="335">
        <f>AI103*Indeksacja!AJ$61</f>
        <v>0.5645269831551637</v>
      </c>
      <c r="AK103" s="335">
        <f>AJ103*Indeksacja!AK$61</f>
        <v>0.57504300182365042</v>
      </c>
      <c r="AL103" s="335">
        <f>AK103*Indeksacja!AL$61</f>
        <v>0.58533551114789362</v>
      </c>
      <c r="AM103" s="335">
        <f>AL103*Indeksacja!AM$61</f>
        <v>0.59540844362038148</v>
      </c>
      <c r="AN103" s="335">
        <f>AM103*Indeksacja!AN$61</f>
        <v>0.60475306933380224</v>
      </c>
      <c r="AO103" s="335">
        <f>AN103*Indeksacja!AO$61</f>
        <v>0.61331846397911594</v>
      </c>
      <c r="AP103" s="335">
        <f>AO103*Indeksacja!AP$61</f>
        <v>0.62155508114504476</v>
      </c>
      <c r="AQ103" s="335">
        <f>AP103*Indeksacja!AQ$61</f>
        <v>0.62894116249088172</v>
      </c>
      <c r="AR103" s="335">
        <f>AQ103*Indeksacja!AR$61</f>
        <v>0.63591435219439163</v>
      </c>
      <c r="AS103" s="335">
        <f>AR103*Indeksacja!AS$61</f>
        <v>0.64300180425515552</v>
      </c>
      <c r="AT103" s="335">
        <f>AS103*Indeksacja!AT$61</f>
        <v>0.65024372984580436</v>
      </c>
      <c r="AU103" s="335">
        <f>AT103*Indeksacja!AU$61</f>
        <v>0.65760197749443328</v>
      </c>
      <c r="AV103" s="335">
        <f>AU103*Indeksacja!AV$61</f>
        <v>0.6650777843508594</v>
      </c>
      <c r="AW103" s="335">
        <f>AV103*Indeksacja!AW$61</f>
        <v>0.67268010595142258</v>
      </c>
      <c r="AX103" s="335">
        <f>AW103*Indeksacja!AX$61</f>
        <v>0.67983902780844974</v>
      </c>
      <c r="AY103" s="335">
        <f>AX103*Indeksacja!AY$61</f>
        <v>0.68712428203078113</v>
      </c>
      <c r="AZ103" s="335">
        <f>AY103*Indeksacja!AZ$61</f>
        <v>0.69454320875902387</v>
      </c>
      <c r="BA103" s="335">
        <f>AZ103*Indeksacja!BA$61</f>
        <v>0.70214990196048144</v>
      </c>
      <c r="BB103" s="335">
        <f>BA103*Indeksacja!BB$61</f>
        <v>0.71047082697672226</v>
      </c>
      <c r="BC103" s="335">
        <f>BB103*Indeksacja!BC$61</f>
        <v>0.71896314274145789</v>
      </c>
      <c r="BD103" s="335">
        <f>BC103*Indeksacja!BD$61</f>
        <v>0.72763868259712916</v>
      </c>
      <c r="BE103" s="335">
        <f>BD103*Indeksacja!BE$61</f>
        <v>0.73650068680402281</v>
      </c>
      <c r="BF103" s="335">
        <f>BE103*Indeksacja!BF$61</f>
        <v>0.74614746629416551</v>
      </c>
      <c r="BG103" s="335">
        <f>BF103*Indeksacja!BG$61</f>
        <v>0.75605766698869725</v>
      </c>
      <c r="BH103" s="335">
        <f>BG103*Indeksacja!BH$61</f>
        <v>0.76618844447523471</v>
      </c>
      <c r="BI103" s="335">
        <f>BH103*Indeksacja!BI$61</f>
        <v>0.77711753671206818</v>
      </c>
    </row>
    <row r="104" spans="1:61">
      <c r="A104" s="337" t="s">
        <v>739</v>
      </c>
      <c r="B104" s="334"/>
      <c r="C104" s="334"/>
      <c r="D104" s="334"/>
      <c r="E104" s="334"/>
      <c r="F104" s="334"/>
      <c r="G104" s="334"/>
      <c r="H104" s="334"/>
      <c r="I104" s="334"/>
      <c r="J104" s="334"/>
      <c r="K104" s="334"/>
      <c r="L104" s="334"/>
      <c r="M104" s="334"/>
      <c r="N104" s="334"/>
      <c r="O104" s="334"/>
      <c r="P104" s="334"/>
      <c r="Q104" s="343">
        <f>Q21*$B$70*$Q$73*$Q$77/100</f>
        <v>0.19941554167707334</v>
      </c>
      <c r="R104" s="344">
        <f>Q104*Indeksacja!R$61</f>
        <v>0.21170260013645392</v>
      </c>
      <c r="S104" s="335">
        <f>R104*Indeksacja!S$61</f>
        <v>0.22524802912812236</v>
      </c>
      <c r="T104" s="335">
        <f>S104*Indeksacja!T$61</f>
        <v>0.23873032777358089</v>
      </c>
      <c r="U104" s="335">
        <f>T104*Indeksacja!U$61</f>
        <v>0.24286711837582795</v>
      </c>
      <c r="V104" s="335">
        <f>U104*Indeksacja!V$61</f>
        <v>0.26941056492087917</v>
      </c>
      <c r="W104" s="335">
        <f>V104*Indeksacja!W$61</f>
        <v>0.32206499781083936</v>
      </c>
      <c r="X104" s="335">
        <f>W104*Indeksacja!X$61</f>
        <v>0.35935643598075434</v>
      </c>
      <c r="Y104" s="335">
        <f>X104*Indeksacja!Y$61</f>
        <v>0.36920609950136135</v>
      </c>
      <c r="Z104" s="335">
        <f>Y104*Indeksacja!Z$61</f>
        <v>0.38111585225500455</v>
      </c>
      <c r="AA104" s="335">
        <f>Z104*Indeksacja!AA$61</f>
        <v>0.3925254495218865</v>
      </c>
      <c r="AB104" s="335">
        <f>AA104*Indeksacja!AB$61</f>
        <v>0.40224144347452045</v>
      </c>
      <c r="AC104" s="335">
        <f>AB104*Indeksacja!AC$61</f>
        <v>0.41223286583460694</v>
      </c>
      <c r="AD104" s="335">
        <f>AC104*Indeksacja!AD$61</f>
        <v>0.42220345224442707</v>
      </c>
      <c r="AE104" s="335">
        <f>AD104*Indeksacja!AE$61</f>
        <v>0.43213277678977136</v>
      </c>
      <c r="AF104" s="335">
        <f>AE104*Indeksacja!AF$61</f>
        <v>0.4414509330046068</v>
      </c>
      <c r="AG104" s="335">
        <f>AF104*Indeksacja!AG$61</f>
        <v>0.45040631854921276</v>
      </c>
      <c r="AH104" s="335">
        <f>AG104*Indeksacja!AH$61</f>
        <v>0.45967107331368856</v>
      </c>
      <c r="AI104" s="335">
        <f>AH104*Indeksacja!AI$61</f>
        <v>0.46920331667917403</v>
      </c>
      <c r="AJ104" s="335">
        <f>AI104*Indeksacja!AJ$61</f>
        <v>0.47825474684836344</v>
      </c>
      <c r="AK104" s="335">
        <f>AJ104*Indeksacja!AK$61</f>
        <v>0.48716368476669047</v>
      </c>
      <c r="AL104" s="335">
        <f>AK104*Indeksacja!AL$61</f>
        <v>0.49588327052287279</v>
      </c>
      <c r="AM104" s="335">
        <f>AL104*Indeksacja!AM$61</f>
        <v>0.50441683563737905</v>
      </c>
      <c r="AN104" s="335">
        <f>AM104*Indeksacja!AN$61</f>
        <v>0.51233339540921974</v>
      </c>
      <c r="AO104" s="335">
        <f>AN104*Indeksacja!AO$61</f>
        <v>0.51958980789256226</v>
      </c>
      <c r="AP104" s="335">
        <f>AO104*Indeksacja!AP$61</f>
        <v>0.52656768738303728</v>
      </c>
      <c r="AQ104" s="335">
        <f>AP104*Indeksacja!AQ$61</f>
        <v>0.53282501177967068</v>
      </c>
      <c r="AR104" s="335">
        <f>AQ104*Indeksacja!AR$61</f>
        <v>0.53873254352906297</v>
      </c>
      <c r="AS104" s="335">
        <f>AR104*Indeksacja!AS$61</f>
        <v>0.54473687581478636</v>
      </c>
      <c r="AT104" s="335">
        <f>AS104*Indeksacja!AT$61</f>
        <v>0.55087207465097465</v>
      </c>
      <c r="AU104" s="335">
        <f>AT104*Indeksacja!AU$61</f>
        <v>0.55710581895629396</v>
      </c>
      <c r="AV104" s="335">
        <f>AU104*Indeksacja!AV$61</f>
        <v>0.5634391568166468</v>
      </c>
      <c r="AW104" s="335">
        <f>AV104*Indeksacja!AW$61</f>
        <v>0.56987967516391214</v>
      </c>
      <c r="AX104" s="335">
        <f>AW104*Indeksacja!AX$61</f>
        <v>0.57594455507683329</v>
      </c>
      <c r="AY104" s="335">
        <f>AX104*Indeksacja!AY$61</f>
        <v>0.58211646096936243</v>
      </c>
      <c r="AZ104" s="335">
        <f>AY104*Indeksacja!AZ$61</f>
        <v>0.58840161124592072</v>
      </c>
      <c r="BA104" s="335">
        <f>AZ104*Indeksacja!BA$61</f>
        <v>0.59484583311656314</v>
      </c>
      <c r="BB104" s="335">
        <f>BA104*Indeksacja!BB$61</f>
        <v>0.60189513634905845</v>
      </c>
      <c r="BC104" s="335">
        <f>BB104*Indeksacja!BC$61</f>
        <v>0.60908963802463856</v>
      </c>
      <c r="BD104" s="335">
        <f>BC104*Indeksacja!BD$61</f>
        <v>0.61643936308872205</v>
      </c>
      <c r="BE104" s="335">
        <f>BD104*Indeksacja!BE$61</f>
        <v>0.62394705661800043</v>
      </c>
      <c r="BF104" s="335">
        <f>BE104*Indeksacja!BF$61</f>
        <v>0.63211959437195242</v>
      </c>
      <c r="BG104" s="335">
        <f>BF104*Indeksacja!BG$61</f>
        <v>0.64051529673127983</v>
      </c>
      <c r="BH104" s="335">
        <f>BG104*Indeksacja!BH$61</f>
        <v>0.64909786685949877</v>
      </c>
      <c r="BI104" s="335">
        <f>BH104*Indeksacja!BI$61</f>
        <v>0.65835675154875828</v>
      </c>
    </row>
    <row r="105" spans="1:61" s="515" customFormat="1">
      <c r="A105" s="783" t="s">
        <v>194</v>
      </c>
      <c r="B105" s="663" t="s">
        <v>309</v>
      </c>
      <c r="C105" s="649"/>
      <c r="D105" s="649"/>
      <c r="E105" s="649"/>
      <c r="F105" s="649"/>
      <c r="G105" s="649"/>
      <c r="H105" s="649"/>
      <c r="I105" s="649"/>
      <c r="J105" s="649"/>
      <c r="K105" s="649"/>
      <c r="L105" s="649"/>
      <c r="M105" s="649"/>
      <c r="N105" s="649"/>
      <c r="O105" s="649"/>
      <c r="P105" s="652"/>
      <c r="Q105" s="6"/>
      <c r="R105" s="6"/>
      <c r="S105" s="6"/>
      <c r="T105" s="6">
        <v>2020</v>
      </c>
      <c r="U105" s="6">
        <f>T105+1</f>
        <v>2021</v>
      </c>
      <c r="V105" s="6">
        <f t="shared" ref="V105:BI105" si="6">U105+1</f>
        <v>2022</v>
      </c>
      <c r="W105" s="6">
        <f t="shared" si="6"/>
        <v>2023</v>
      </c>
      <c r="X105" s="6">
        <f t="shared" si="6"/>
        <v>2024</v>
      </c>
      <c r="Y105" s="6">
        <f t="shared" si="6"/>
        <v>2025</v>
      </c>
      <c r="Z105" s="6">
        <f t="shared" si="6"/>
        <v>2026</v>
      </c>
      <c r="AA105" s="6">
        <f t="shared" si="6"/>
        <v>2027</v>
      </c>
      <c r="AB105" s="6">
        <f t="shared" si="6"/>
        <v>2028</v>
      </c>
      <c r="AC105" s="6">
        <f t="shared" si="6"/>
        <v>2029</v>
      </c>
      <c r="AD105" s="6">
        <f t="shared" si="6"/>
        <v>2030</v>
      </c>
      <c r="AE105" s="6">
        <f t="shared" si="6"/>
        <v>2031</v>
      </c>
      <c r="AF105" s="6">
        <f t="shared" si="6"/>
        <v>2032</v>
      </c>
      <c r="AG105" s="6">
        <f t="shared" si="6"/>
        <v>2033</v>
      </c>
      <c r="AH105" s="6">
        <f t="shared" si="6"/>
        <v>2034</v>
      </c>
      <c r="AI105" s="6">
        <f t="shared" si="6"/>
        <v>2035</v>
      </c>
      <c r="AJ105" s="6">
        <f t="shared" si="6"/>
        <v>2036</v>
      </c>
      <c r="AK105" s="6">
        <f t="shared" si="6"/>
        <v>2037</v>
      </c>
      <c r="AL105" s="6">
        <f t="shared" si="6"/>
        <v>2038</v>
      </c>
      <c r="AM105" s="6">
        <f t="shared" si="6"/>
        <v>2039</v>
      </c>
      <c r="AN105" s="6">
        <f t="shared" si="6"/>
        <v>2040</v>
      </c>
      <c r="AO105" s="6">
        <f t="shared" si="6"/>
        <v>2041</v>
      </c>
      <c r="AP105" s="6">
        <f t="shared" si="6"/>
        <v>2042</v>
      </c>
      <c r="AQ105" s="6">
        <f t="shared" si="6"/>
        <v>2043</v>
      </c>
      <c r="AR105" s="6">
        <f t="shared" si="6"/>
        <v>2044</v>
      </c>
      <c r="AS105" s="6">
        <f t="shared" si="6"/>
        <v>2045</v>
      </c>
      <c r="AT105" s="6">
        <f t="shared" si="6"/>
        <v>2046</v>
      </c>
      <c r="AU105" s="6">
        <f t="shared" si="6"/>
        <v>2047</v>
      </c>
      <c r="AV105" s="6">
        <f t="shared" si="6"/>
        <v>2048</v>
      </c>
      <c r="AW105" s="6">
        <f t="shared" si="6"/>
        <v>2049</v>
      </c>
      <c r="AX105" s="6">
        <f t="shared" si="6"/>
        <v>2050</v>
      </c>
      <c r="AY105" s="6">
        <f t="shared" si="6"/>
        <v>2051</v>
      </c>
      <c r="AZ105" s="6">
        <f t="shared" si="6"/>
        <v>2052</v>
      </c>
      <c r="BA105" s="6">
        <f t="shared" si="6"/>
        <v>2053</v>
      </c>
      <c r="BB105" s="6">
        <f t="shared" si="6"/>
        <v>2054</v>
      </c>
      <c r="BC105" s="6">
        <f t="shared" si="6"/>
        <v>2055</v>
      </c>
      <c r="BD105" s="6">
        <f t="shared" si="6"/>
        <v>2056</v>
      </c>
      <c r="BE105" s="6">
        <f t="shared" si="6"/>
        <v>2057</v>
      </c>
      <c r="BF105" s="6">
        <f t="shared" si="6"/>
        <v>2058</v>
      </c>
      <c r="BG105" s="6">
        <f t="shared" si="6"/>
        <v>2059</v>
      </c>
      <c r="BH105" s="6">
        <f t="shared" si="6"/>
        <v>2060</v>
      </c>
      <c r="BI105" s="6">
        <f t="shared" si="6"/>
        <v>2061</v>
      </c>
    </row>
    <row r="106" spans="1:61">
      <c r="A106" s="785"/>
      <c r="B106" s="664" t="s">
        <v>510</v>
      </c>
      <c r="C106" s="659"/>
      <c r="D106" s="659"/>
      <c r="E106" s="659"/>
      <c r="F106" s="659"/>
      <c r="G106" s="659"/>
      <c r="H106" s="659"/>
      <c r="I106" s="659"/>
      <c r="J106" s="659"/>
      <c r="K106" s="659"/>
      <c r="L106" s="659"/>
      <c r="M106" s="659"/>
      <c r="N106" s="659"/>
      <c r="O106" s="659"/>
      <c r="P106" s="665"/>
      <c r="Q106" s="661">
        <f>DATE(2016,12,31)</f>
        <v>42735</v>
      </c>
      <c r="R106" s="661">
        <f>DATE(YEAR(Q106+1),12,31)</f>
        <v>43100</v>
      </c>
      <c r="S106" s="661">
        <f t="shared" ref="S106" si="7">DATE(YEAR(R106+1),12,31)</f>
        <v>43465</v>
      </c>
      <c r="T106" s="661">
        <f>DATE(YEAR(S106+1),12,31)</f>
        <v>43830</v>
      </c>
      <c r="U106" s="661">
        <f t="shared" ref="U106:BI106" si="8">DATE(YEAR(T106+1),12,31)</f>
        <v>44196</v>
      </c>
      <c r="V106" s="661">
        <f t="shared" si="8"/>
        <v>44561</v>
      </c>
      <c r="W106" s="661">
        <f t="shared" si="8"/>
        <v>44926</v>
      </c>
      <c r="X106" s="661">
        <f t="shared" si="8"/>
        <v>45291</v>
      </c>
      <c r="Y106" s="661">
        <f t="shared" si="8"/>
        <v>45657</v>
      </c>
      <c r="Z106" s="661">
        <f t="shared" si="8"/>
        <v>46022</v>
      </c>
      <c r="AA106" s="661">
        <f t="shared" si="8"/>
        <v>46387</v>
      </c>
      <c r="AB106" s="661">
        <f t="shared" si="8"/>
        <v>46752</v>
      </c>
      <c r="AC106" s="661">
        <f t="shared" si="8"/>
        <v>47118</v>
      </c>
      <c r="AD106" s="661">
        <f t="shared" si="8"/>
        <v>47483</v>
      </c>
      <c r="AE106" s="661">
        <f t="shared" si="8"/>
        <v>47848</v>
      </c>
      <c r="AF106" s="661">
        <f t="shared" si="8"/>
        <v>48213</v>
      </c>
      <c r="AG106" s="661">
        <f t="shared" si="8"/>
        <v>48579</v>
      </c>
      <c r="AH106" s="661">
        <f t="shared" si="8"/>
        <v>48944</v>
      </c>
      <c r="AI106" s="661">
        <f t="shared" si="8"/>
        <v>49309</v>
      </c>
      <c r="AJ106" s="661">
        <f t="shared" si="8"/>
        <v>49674</v>
      </c>
      <c r="AK106" s="661">
        <f t="shared" si="8"/>
        <v>50040</v>
      </c>
      <c r="AL106" s="661">
        <f t="shared" si="8"/>
        <v>50405</v>
      </c>
      <c r="AM106" s="661">
        <f t="shared" si="8"/>
        <v>50770</v>
      </c>
      <c r="AN106" s="661">
        <f t="shared" si="8"/>
        <v>51135</v>
      </c>
      <c r="AO106" s="661">
        <f t="shared" si="8"/>
        <v>51501</v>
      </c>
      <c r="AP106" s="661">
        <f t="shared" si="8"/>
        <v>51866</v>
      </c>
      <c r="AQ106" s="661">
        <f t="shared" si="8"/>
        <v>52231</v>
      </c>
      <c r="AR106" s="661">
        <f t="shared" si="8"/>
        <v>52596</v>
      </c>
      <c r="AS106" s="661">
        <f t="shared" si="8"/>
        <v>52962</v>
      </c>
      <c r="AT106" s="661">
        <f t="shared" si="8"/>
        <v>53327</v>
      </c>
      <c r="AU106" s="661">
        <f t="shared" si="8"/>
        <v>53692</v>
      </c>
      <c r="AV106" s="661">
        <f t="shared" si="8"/>
        <v>54057</v>
      </c>
      <c r="AW106" s="661">
        <f t="shared" si="8"/>
        <v>54423</v>
      </c>
      <c r="AX106" s="661">
        <f t="shared" si="8"/>
        <v>54788</v>
      </c>
      <c r="AY106" s="661">
        <f t="shared" si="8"/>
        <v>55153</v>
      </c>
      <c r="AZ106" s="661">
        <f t="shared" si="8"/>
        <v>55518</v>
      </c>
      <c r="BA106" s="661">
        <f t="shared" si="8"/>
        <v>55884</v>
      </c>
      <c r="BB106" s="661">
        <f t="shared" si="8"/>
        <v>56249</v>
      </c>
      <c r="BC106" s="661">
        <f t="shared" si="8"/>
        <v>56614</v>
      </c>
      <c r="BD106" s="661">
        <f t="shared" si="8"/>
        <v>56979</v>
      </c>
      <c r="BE106" s="661">
        <f t="shared" si="8"/>
        <v>57345</v>
      </c>
      <c r="BF106" s="661">
        <f t="shared" si="8"/>
        <v>57710</v>
      </c>
      <c r="BG106" s="661">
        <f t="shared" si="8"/>
        <v>58075</v>
      </c>
      <c r="BH106" s="661">
        <f t="shared" si="8"/>
        <v>58440</v>
      </c>
      <c r="BI106" s="661">
        <f t="shared" si="8"/>
        <v>58806</v>
      </c>
    </row>
    <row r="107" spans="1:61">
      <c r="A107" s="337" t="s">
        <v>196</v>
      </c>
      <c r="B107" s="334"/>
      <c r="C107" s="334"/>
      <c r="D107" s="334"/>
      <c r="E107" s="334"/>
      <c r="F107" s="334"/>
      <c r="G107" s="334"/>
      <c r="H107" s="334"/>
      <c r="I107" s="334"/>
      <c r="J107" s="334"/>
      <c r="K107" s="334"/>
      <c r="L107" s="334"/>
      <c r="M107" s="334"/>
      <c r="N107" s="334"/>
      <c r="O107" s="334"/>
      <c r="P107" s="334"/>
      <c r="Q107" s="343">
        <f>Q28*$B$70*$Q$73*$Q$77/100</f>
        <v>1.1200240468751863</v>
      </c>
      <c r="R107" s="344">
        <f>Q107*Indeksacja!R$61</f>
        <v>1.1890347208885128</v>
      </c>
      <c r="S107" s="335">
        <f>R107*Indeksacja!S$61</f>
        <v>1.2651130750043456</v>
      </c>
      <c r="T107" s="335">
        <f>S107*Indeksacja!T$61</f>
        <v>1.3408368554232235</v>
      </c>
      <c r="U107" s="335">
        <f>T107*Indeksacja!U$61</f>
        <v>1.3640712779383302</v>
      </c>
      <c r="V107" s="335">
        <f>U107*Indeksacja!V$61</f>
        <v>1.5131534315527462</v>
      </c>
      <c r="W107" s="335">
        <f>V107*Indeksacja!W$61</f>
        <v>1.8088888116307542</v>
      </c>
      <c r="X107" s="335">
        <f>W107*Indeksacja!X$61</f>
        <v>2.0183374190040979</v>
      </c>
      <c r="Y107" s="335">
        <f>X107*Indeksacja!Y$61</f>
        <v>2.0736583829767743</v>
      </c>
      <c r="Z107" s="335">
        <f>Y107*Indeksacja!Z$61</f>
        <v>2.140549906898312</v>
      </c>
      <c r="AA107" s="335">
        <f>Z107*Indeksacja!AA$61</f>
        <v>2.2046322908318725</v>
      </c>
      <c r="AB107" s="335">
        <f>AA107*Indeksacja!AB$61</f>
        <v>2.2592024952137661</v>
      </c>
      <c r="AC107" s="335">
        <f>AB107*Indeksacja!AC$61</f>
        <v>2.3153196524406838</v>
      </c>
      <c r="AD107" s="335">
        <f>AC107*Indeksacja!AD$61</f>
        <v>2.3713197838573685</v>
      </c>
      <c r="AE107" s="335">
        <f>AD107*Indeksacja!AE$61</f>
        <v>2.427088166634789</v>
      </c>
      <c r="AF107" s="335">
        <f>AE107*Indeksacja!AF$61</f>
        <v>2.4794239020814062</v>
      </c>
      <c r="AG107" s="335">
        <f>AF107*Indeksacja!AG$61</f>
        <v>2.5297221239483845</v>
      </c>
      <c r="AH107" s="335">
        <f>AG107*Indeksacja!AH$61</f>
        <v>2.5817579283663679</v>
      </c>
      <c r="AI107" s="335">
        <f>AH107*Indeksacja!AI$61</f>
        <v>2.6352960914414361</v>
      </c>
      <c r="AJ107" s="335">
        <f>AI107*Indeksacja!AJ$61</f>
        <v>2.6861337511486245</v>
      </c>
      <c r="AK107" s="335">
        <f>AJ107*Indeksacja!AK$61</f>
        <v>2.736171098372056</v>
      </c>
      <c r="AL107" s="335">
        <f>AK107*Indeksacja!AL$61</f>
        <v>2.7851449428556996</v>
      </c>
      <c r="AM107" s="335">
        <f>AL107*Indeksacja!AM$61</f>
        <v>2.8330739961954827</v>
      </c>
      <c r="AN107" s="335">
        <f>AM107*Indeksacja!AN$61</f>
        <v>2.877537618430829</v>
      </c>
      <c r="AO107" s="335">
        <f>AN107*Indeksacja!AO$61</f>
        <v>2.9182935013827711</v>
      </c>
      <c r="AP107" s="335">
        <f>AO107*Indeksacja!AP$61</f>
        <v>2.9574849944820665</v>
      </c>
      <c r="AQ107" s="335">
        <f>AP107*Indeksacja!AQ$61</f>
        <v>2.9926294658426653</v>
      </c>
      <c r="AR107" s="335">
        <f>AQ107*Indeksacja!AR$61</f>
        <v>3.0258093151229817</v>
      </c>
      <c r="AS107" s="335">
        <f>AR107*Indeksacja!AS$61</f>
        <v>3.0595328478470729</v>
      </c>
      <c r="AT107" s="335">
        <f>AS107*Indeksacja!AT$61</f>
        <v>3.0939913969205408</v>
      </c>
      <c r="AU107" s="335">
        <f>AT107*Indeksacja!AU$61</f>
        <v>3.1290034299111049</v>
      </c>
      <c r="AV107" s="335">
        <f>AU107*Indeksacja!AV$61</f>
        <v>3.1645748334282247</v>
      </c>
      <c r="AW107" s="335">
        <f>AV107*Indeksacja!AW$61</f>
        <v>3.2007482197280717</v>
      </c>
      <c r="AX107" s="335">
        <f>AW107*Indeksacja!AX$61</f>
        <v>3.2348118202215681</v>
      </c>
      <c r="AY107" s="335">
        <f>AX107*Indeksacja!AY$61</f>
        <v>3.2694765357023581</v>
      </c>
      <c r="AZ107" s="335">
        <f>AY107*Indeksacja!AZ$61</f>
        <v>3.30477729204646</v>
      </c>
      <c r="BA107" s="335">
        <f>AZ107*Indeksacja!BA$61</f>
        <v>3.3409714793089882</v>
      </c>
      <c r="BB107" s="335">
        <f>BA107*Indeksacja!BB$61</f>
        <v>3.3805641262396633</v>
      </c>
      <c r="BC107" s="335">
        <f>BB107*Indeksacja!BC$61</f>
        <v>3.4209722850730526</v>
      </c>
      <c r="BD107" s="335">
        <f>BC107*Indeksacja!BD$61</f>
        <v>3.4622522612497599</v>
      </c>
      <c r="BE107" s="335">
        <f>BD107*Indeksacja!BE$61</f>
        <v>3.5044194725846616</v>
      </c>
      <c r="BF107" s="335">
        <f>BE107*Indeksacja!BF$61</f>
        <v>3.5503208037017933</v>
      </c>
      <c r="BG107" s="335">
        <f>BF107*Indeksacja!BG$61</f>
        <v>3.5974755462748718</v>
      </c>
      <c r="BH107" s="335">
        <f>BG107*Indeksacja!BH$61</f>
        <v>3.6456798379100963</v>
      </c>
      <c r="BI107" s="335">
        <f>BH107*Indeksacja!BI$61</f>
        <v>3.6976826728546679</v>
      </c>
    </row>
    <row r="108" spans="1:61">
      <c r="A108" s="337" t="s">
        <v>201</v>
      </c>
      <c r="B108" s="334"/>
      <c r="C108" s="334"/>
      <c r="D108" s="334"/>
      <c r="E108" s="334"/>
      <c r="F108" s="334"/>
      <c r="G108" s="334"/>
      <c r="H108" s="334"/>
      <c r="I108" s="334"/>
      <c r="J108" s="334"/>
      <c r="K108" s="334"/>
      <c r="L108" s="334"/>
      <c r="M108" s="334"/>
      <c r="N108" s="334"/>
      <c r="O108" s="334"/>
      <c r="P108" s="334"/>
      <c r="Q108" s="343">
        <f>Q29*$B$70*$Q$73*$Q$77/100</f>
        <v>1.10603544046322</v>
      </c>
      <c r="R108" s="344">
        <f>Q108*Indeksacja!R$61</f>
        <v>1.1741842015920061</v>
      </c>
      <c r="S108" s="335">
        <f>R108*Indeksacja!S$61</f>
        <v>1.2493123706156832</v>
      </c>
      <c r="T108" s="335">
        <f>S108*Indeksacja!T$61</f>
        <v>1.3240903944115128</v>
      </c>
      <c r="U108" s="335">
        <f>T108*Indeksacja!U$61</f>
        <v>1.3470346292358464</v>
      </c>
      <c r="V108" s="335">
        <f>U108*Indeksacja!V$61</f>
        <v>1.4942548124972341</v>
      </c>
      <c r="W108" s="335">
        <f>V108*Indeksacja!W$61</f>
        <v>1.7862965880981363</v>
      </c>
      <c r="X108" s="335">
        <f>W108*Indeksacja!X$61</f>
        <v>1.9931292747327649</v>
      </c>
      <c r="Y108" s="335">
        <f>X108*Indeksacja!Y$61</f>
        <v>2.0477593042621112</v>
      </c>
      <c r="Z108" s="335">
        <f>Y108*Indeksacja!Z$61</f>
        <v>2.1138153825492041</v>
      </c>
      <c r="AA108" s="335">
        <f>Z108*Indeksacja!AA$61</f>
        <v>2.177097405767932</v>
      </c>
      <c r="AB108" s="335">
        <f>AA108*Indeksacja!AB$61</f>
        <v>2.230986052362697</v>
      </c>
      <c r="AC108" s="335">
        <f>AB108*Indeksacja!AC$61</f>
        <v>2.2864023310436621</v>
      </c>
      <c r="AD108" s="335">
        <f>AC108*Indeksacja!AD$61</f>
        <v>2.3417030455151555</v>
      </c>
      <c r="AE108" s="335">
        <f>AD108*Indeksacja!AE$61</f>
        <v>2.3967749057856871</v>
      </c>
      <c r="AF108" s="335">
        <f>AE108*Indeksacja!AF$61</f>
        <v>2.4484569909767711</v>
      </c>
      <c r="AG108" s="335">
        <f>AF108*Indeksacja!AG$61</f>
        <v>2.4981270102342772</v>
      </c>
      <c r="AH108" s="335">
        <f>AG108*Indeksacja!AH$61</f>
        <v>2.5495129104030045</v>
      </c>
      <c r="AI108" s="335">
        <f>AH108*Indeksacja!AI$61</f>
        <v>2.6023824054317335</v>
      </c>
      <c r="AJ108" s="335">
        <f>AI108*Indeksacja!AJ$61</f>
        <v>2.6525851251887187</v>
      </c>
      <c r="AK108" s="335">
        <f>AJ108*Indeksacja!AK$61</f>
        <v>2.7019975280119293</v>
      </c>
      <c r="AL108" s="335">
        <f>AK108*Indeksacja!AL$61</f>
        <v>2.7503597107755642</v>
      </c>
      <c r="AM108" s="335">
        <f>AL108*Indeksacja!AM$61</f>
        <v>2.7976901513759698</v>
      </c>
      <c r="AN108" s="335">
        <f>AM108*Indeksacja!AN$61</f>
        <v>2.8415984425781691</v>
      </c>
      <c r="AO108" s="335">
        <f>AN108*Indeksacja!AO$61</f>
        <v>2.8818453025254911</v>
      </c>
      <c r="AP108" s="335">
        <f>AO108*Indeksacja!AP$61</f>
        <v>2.9205473111595261</v>
      </c>
      <c r="AQ108" s="335">
        <f>AP108*Indeksacja!AQ$61</f>
        <v>2.9552528435716341</v>
      </c>
      <c r="AR108" s="335">
        <f>AQ108*Indeksacja!AR$61</f>
        <v>2.9880182911668389</v>
      </c>
      <c r="AS108" s="335">
        <f>AR108*Indeksacja!AS$61</f>
        <v>3.0213206318393717</v>
      </c>
      <c r="AT108" s="335">
        <f>AS108*Indeksacja!AT$61</f>
        <v>3.0553488088312211</v>
      </c>
      <c r="AU108" s="335">
        <f>AT108*Indeksacja!AU$61</f>
        <v>3.0899235569701302</v>
      </c>
      <c r="AV108" s="335">
        <f>AU108*Indeksacja!AV$61</f>
        <v>3.1250506893444019</v>
      </c>
      <c r="AW108" s="335">
        <f>AV108*Indeksacja!AW$61</f>
        <v>3.1607722860019209</v>
      </c>
      <c r="AX108" s="335">
        <f>AW108*Indeksacja!AX$61</f>
        <v>3.1944104471473893</v>
      </c>
      <c r="AY108" s="335">
        <f>AX108*Indeksacja!AY$61</f>
        <v>3.2286422156190535</v>
      </c>
      <c r="AZ108" s="335">
        <f>AY108*Indeksacja!AZ$61</f>
        <v>3.2635020810841424</v>
      </c>
      <c r="BA108" s="335">
        <f>AZ108*Indeksacja!BA$61</f>
        <v>3.2992442189094917</v>
      </c>
      <c r="BB108" s="335">
        <f>BA108*Indeksacja!BB$61</f>
        <v>3.3383423711404623</v>
      </c>
      <c r="BC108" s="335">
        <f>BB108*Indeksacja!BC$61</f>
        <v>3.3782458498901251</v>
      </c>
      <c r="BD108" s="335">
        <f>BC108*Indeksacja!BD$61</f>
        <v>3.4190102573689618</v>
      </c>
      <c r="BE108" s="335">
        <f>BD108*Indeksacja!BE$61</f>
        <v>3.4606508188301399</v>
      </c>
      <c r="BF108" s="335">
        <f>BE108*Indeksacja!BF$61</f>
        <v>3.5059788625642248</v>
      </c>
      <c r="BG108" s="335">
        <f>BF108*Indeksacja!BG$61</f>
        <v>3.5525446631979287</v>
      </c>
      <c r="BH108" s="335">
        <f>BG108*Indeksacja!BH$61</f>
        <v>3.6001469044888466</v>
      </c>
      <c r="BI108" s="335">
        <f>BH108*Indeksacja!BI$61</f>
        <v>3.6515002469583453</v>
      </c>
    </row>
    <row r="109" spans="1:61">
      <c r="A109" s="337" t="s">
        <v>202</v>
      </c>
      <c r="B109" s="334"/>
      <c r="C109" s="334"/>
      <c r="D109" s="334"/>
      <c r="E109" s="334"/>
      <c r="F109" s="334"/>
      <c r="G109" s="334"/>
      <c r="H109" s="334"/>
      <c r="I109" s="334"/>
      <c r="J109" s="334"/>
      <c r="K109" s="334"/>
      <c r="L109" s="334"/>
      <c r="M109" s="334"/>
      <c r="N109" s="334"/>
      <c r="O109" s="334"/>
      <c r="P109" s="334"/>
      <c r="Q109" s="343">
        <f>Q30*$B$70*$Q$73*$Q$77/100</f>
        <v>4.4241417618528738</v>
      </c>
      <c r="R109" s="344">
        <f>Q109*Indeksacja!R$61</f>
        <v>4.6967368063680173</v>
      </c>
      <c r="S109" s="335">
        <f>R109*Indeksacja!S$61</f>
        <v>4.9972494824627249</v>
      </c>
      <c r="T109" s="335">
        <f>S109*Indeksacja!T$61</f>
        <v>5.2963615776460422</v>
      </c>
      <c r="U109" s="335">
        <f>T109*Indeksacja!U$61</f>
        <v>5.3881385169433758</v>
      </c>
      <c r="V109" s="335">
        <f>U109*Indeksacja!V$61</f>
        <v>5.9770192499889259</v>
      </c>
      <c r="W109" s="335">
        <f>V109*Indeksacja!W$61</f>
        <v>7.1451863523925327</v>
      </c>
      <c r="X109" s="335">
        <f>W109*Indeksacja!X$61</f>
        <v>7.9725170989310463</v>
      </c>
      <c r="Y109" s="335">
        <f>X109*Indeksacja!Y$61</f>
        <v>8.1910372170484305</v>
      </c>
      <c r="Z109" s="335">
        <f>Y109*Indeksacja!Z$61</f>
        <v>8.4552615301968022</v>
      </c>
      <c r="AA109" s="335">
        <f>Z109*Indeksacja!AA$61</f>
        <v>8.7083896230717137</v>
      </c>
      <c r="AB109" s="335">
        <f>AA109*Indeksacja!AB$61</f>
        <v>8.9239442094507737</v>
      </c>
      <c r="AC109" s="335">
        <f>AB109*Indeksacja!AC$61</f>
        <v>9.1456093241746341</v>
      </c>
      <c r="AD109" s="335">
        <f>AC109*Indeksacja!AD$61</f>
        <v>9.3668121820606061</v>
      </c>
      <c r="AE109" s="335">
        <f>AD109*Indeksacja!AE$61</f>
        <v>9.5870996231427323</v>
      </c>
      <c r="AF109" s="335">
        <f>AE109*Indeksacja!AF$61</f>
        <v>9.7938279639070664</v>
      </c>
      <c r="AG109" s="335">
        <f>AF109*Indeksacja!AG$61</f>
        <v>9.992508040937091</v>
      </c>
      <c r="AH109" s="335">
        <f>AG109*Indeksacja!AH$61</f>
        <v>10.198051641611999</v>
      </c>
      <c r="AI109" s="335">
        <f>AH109*Indeksacja!AI$61</f>
        <v>10.409529621726914</v>
      </c>
      <c r="AJ109" s="335">
        <f>AI109*Indeksacja!AJ$61</f>
        <v>10.610340500754855</v>
      </c>
      <c r="AK109" s="335">
        <f>AJ109*Indeksacja!AK$61</f>
        <v>10.807990112047698</v>
      </c>
      <c r="AL109" s="335">
        <f>AK109*Indeksacja!AL$61</f>
        <v>11.001438843102237</v>
      </c>
      <c r="AM109" s="335">
        <f>AL109*Indeksacja!AM$61</f>
        <v>11.19076060550386</v>
      </c>
      <c r="AN109" s="335">
        <f>AM109*Indeksacja!AN$61</f>
        <v>11.366393770312657</v>
      </c>
      <c r="AO109" s="335">
        <f>AN109*Indeksacja!AO$61</f>
        <v>11.527381210101945</v>
      </c>
      <c r="AP109" s="335">
        <f>AO109*Indeksacja!AP$61</f>
        <v>11.682189244638085</v>
      </c>
      <c r="AQ109" s="335">
        <f>AP109*Indeksacja!AQ$61</f>
        <v>11.821011374286515</v>
      </c>
      <c r="AR109" s="335">
        <f>AQ109*Indeksacja!AR$61</f>
        <v>11.952073164667334</v>
      </c>
      <c r="AS109" s="335">
        <f>AR109*Indeksacja!AS$61</f>
        <v>12.085282527357466</v>
      </c>
      <c r="AT109" s="335">
        <f>AS109*Indeksacja!AT$61</f>
        <v>12.221395235324863</v>
      </c>
      <c r="AU109" s="335">
        <f>AT109*Indeksacja!AU$61</f>
        <v>12.3596942278805</v>
      </c>
      <c r="AV109" s="335">
        <f>AU109*Indeksacja!AV$61</f>
        <v>12.500202757377586</v>
      </c>
      <c r="AW109" s="335">
        <f>AV109*Indeksacja!AW$61</f>
        <v>12.643089144007661</v>
      </c>
      <c r="AX109" s="335">
        <f>AW109*Indeksacja!AX$61</f>
        <v>12.777641788589534</v>
      </c>
      <c r="AY109" s="335">
        <f>AX109*Indeksacja!AY$61</f>
        <v>12.914568862476189</v>
      </c>
      <c r="AZ109" s="335">
        <f>AY109*Indeksacja!AZ$61</f>
        <v>13.054008324336545</v>
      </c>
      <c r="BA109" s="335">
        <f>AZ109*Indeksacja!BA$61</f>
        <v>13.196976875637942</v>
      </c>
      <c r="BB109" s="335">
        <f>BA109*Indeksacja!BB$61</f>
        <v>13.353369484561824</v>
      </c>
      <c r="BC109" s="335">
        <f>BB109*Indeksacja!BC$61</f>
        <v>13.512983399560476</v>
      </c>
      <c r="BD109" s="335">
        <f>BC109*Indeksacja!BD$61</f>
        <v>13.676041029475822</v>
      </c>
      <c r="BE109" s="335">
        <f>BD109*Indeksacja!BE$61</f>
        <v>13.842603275320535</v>
      </c>
      <c r="BF109" s="335">
        <f>BE109*Indeksacja!BF$61</f>
        <v>14.023915450256872</v>
      </c>
      <c r="BG109" s="335">
        <f>BF109*Indeksacja!BG$61</f>
        <v>14.210178652791688</v>
      </c>
      <c r="BH109" s="335">
        <f>BG109*Indeksacja!BH$61</f>
        <v>14.40058761795536</v>
      </c>
      <c r="BI109" s="335">
        <f>BH109*Indeksacja!BI$61</f>
        <v>14.606000987833355</v>
      </c>
    </row>
    <row r="110" spans="1:61">
      <c r="A110" s="337" t="s">
        <v>203</v>
      </c>
      <c r="B110" s="334"/>
      <c r="C110" s="334"/>
      <c r="D110" s="334"/>
      <c r="E110" s="334"/>
      <c r="F110" s="334"/>
      <c r="G110" s="334"/>
      <c r="H110" s="334"/>
      <c r="I110" s="334"/>
      <c r="J110" s="334"/>
      <c r="K110" s="334"/>
      <c r="L110" s="334"/>
      <c r="M110" s="334"/>
      <c r="N110" s="334"/>
      <c r="O110" s="334"/>
      <c r="P110" s="334"/>
      <c r="Q110" s="343">
        <f>Q31*$B$70*$Q$73*$Q$77/100</f>
        <v>4.4241417618528738</v>
      </c>
      <c r="R110" s="344">
        <f>Q110*Indeksacja!R$61</f>
        <v>4.6967368063680173</v>
      </c>
      <c r="S110" s="335">
        <f>R110*Indeksacja!S$61</f>
        <v>4.9972494824627249</v>
      </c>
      <c r="T110" s="335">
        <f>S110*Indeksacja!T$61</f>
        <v>5.2963615776460422</v>
      </c>
      <c r="U110" s="335">
        <f>T110*Indeksacja!U$61</f>
        <v>5.3881385169433758</v>
      </c>
      <c r="V110" s="335">
        <f>U110*Indeksacja!V$61</f>
        <v>5.9770192499889259</v>
      </c>
      <c r="W110" s="335">
        <f>V110*Indeksacja!W$61</f>
        <v>7.1451863523925327</v>
      </c>
      <c r="X110" s="335">
        <f>W110*Indeksacja!X$61</f>
        <v>7.9725170989310463</v>
      </c>
      <c r="Y110" s="335">
        <f>X110*Indeksacja!Y$61</f>
        <v>8.1910372170484305</v>
      </c>
      <c r="Z110" s="335">
        <f>Y110*Indeksacja!Z$61</f>
        <v>8.4552615301968022</v>
      </c>
      <c r="AA110" s="335">
        <f>Z110*Indeksacja!AA$61</f>
        <v>8.7083896230717137</v>
      </c>
      <c r="AB110" s="335">
        <f>AA110*Indeksacja!AB$61</f>
        <v>8.9239442094507737</v>
      </c>
      <c r="AC110" s="335">
        <f>AB110*Indeksacja!AC$61</f>
        <v>9.1456093241746341</v>
      </c>
      <c r="AD110" s="335">
        <f>AC110*Indeksacja!AD$61</f>
        <v>9.3668121820606061</v>
      </c>
      <c r="AE110" s="335">
        <f>AD110*Indeksacja!AE$61</f>
        <v>9.5870996231427323</v>
      </c>
      <c r="AF110" s="335">
        <f>AE110*Indeksacja!AF$61</f>
        <v>9.7938279639070664</v>
      </c>
      <c r="AG110" s="335">
        <f>AF110*Indeksacja!AG$61</f>
        <v>9.992508040937091</v>
      </c>
      <c r="AH110" s="335">
        <f>AG110*Indeksacja!AH$61</f>
        <v>10.198051641611999</v>
      </c>
      <c r="AI110" s="335">
        <f>AH110*Indeksacja!AI$61</f>
        <v>10.409529621726914</v>
      </c>
      <c r="AJ110" s="335">
        <f>AI110*Indeksacja!AJ$61</f>
        <v>10.610340500754855</v>
      </c>
      <c r="AK110" s="335">
        <f>AJ110*Indeksacja!AK$61</f>
        <v>10.807990112047698</v>
      </c>
      <c r="AL110" s="335">
        <f>AK110*Indeksacja!AL$61</f>
        <v>11.001438843102237</v>
      </c>
      <c r="AM110" s="335">
        <f>AL110*Indeksacja!AM$61</f>
        <v>11.19076060550386</v>
      </c>
      <c r="AN110" s="335">
        <f>AM110*Indeksacja!AN$61</f>
        <v>11.366393770312657</v>
      </c>
      <c r="AO110" s="335">
        <f>AN110*Indeksacja!AO$61</f>
        <v>11.527381210101945</v>
      </c>
      <c r="AP110" s="335">
        <f>AO110*Indeksacja!AP$61</f>
        <v>11.682189244638085</v>
      </c>
      <c r="AQ110" s="335">
        <f>AP110*Indeksacja!AQ$61</f>
        <v>11.821011374286515</v>
      </c>
      <c r="AR110" s="335">
        <f>AQ110*Indeksacja!AR$61</f>
        <v>11.952073164667334</v>
      </c>
      <c r="AS110" s="335">
        <f>AR110*Indeksacja!AS$61</f>
        <v>12.085282527357466</v>
      </c>
      <c r="AT110" s="335">
        <f>AS110*Indeksacja!AT$61</f>
        <v>12.221395235324863</v>
      </c>
      <c r="AU110" s="335">
        <f>AT110*Indeksacja!AU$61</f>
        <v>12.3596942278805</v>
      </c>
      <c r="AV110" s="335">
        <f>AU110*Indeksacja!AV$61</f>
        <v>12.500202757377586</v>
      </c>
      <c r="AW110" s="335">
        <f>AV110*Indeksacja!AW$61</f>
        <v>12.643089144007661</v>
      </c>
      <c r="AX110" s="335">
        <f>AW110*Indeksacja!AX$61</f>
        <v>12.777641788589534</v>
      </c>
      <c r="AY110" s="335">
        <f>AX110*Indeksacja!AY$61</f>
        <v>12.914568862476189</v>
      </c>
      <c r="AZ110" s="335">
        <f>AY110*Indeksacja!AZ$61</f>
        <v>13.054008324336545</v>
      </c>
      <c r="BA110" s="335">
        <f>AZ110*Indeksacja!BA$61</f>
        <v>13.196976875637942</v>
      </c>
      <c r="BB110" s="335">
        <f>BA110*Indeksacja!BB$61</f>
        <v>13.353369484561824</v>
      </c>
      <c r="BC110" s="335">
        <f>BB110*Indeksacja!BC$61</f>
        <v>13.512983399560476</v>
      </c>
      <c r="BD110" s="335">
        <f>BC110*Indeksacja!BD$61</f>
        <v>13.676041029475822</v>
      </c>
      <c r="BE110" s="335">
        <f>BD110*Indeksacja!BE$61</f>
        <v>13.842603275320535</v>
      </c>
      <c r="BF110" s="335">
        <f>BE110*Indeksacja!BF$61</f>
        <v>14.023915450256872</v>
      </c>
      <c r="BG110" s="335">
        <f>BF110*Indeksacja!BG$61</f>
        <v>14.210178652791688</v>
      </c>
      <c r="BH110" s="335">
        <f>BG110*Indeksacja!BH$61</f>
        <v>14.40058761795536</v>
      </c>
      <c r="BI110" s="335">
        <f>BH110*Indeksacja!BI$61</f>
        <v>14.606000987833355</v>
      </c>
    </row>
    <row r="111" spans="1:61">
      <c r="A111" s="350"/>
      <c r="B111" s="350"/>
      <c r="C111" s="350"/>
      <c r="D111" s="350"/>
      <c r="E111" s="350"/>
      <c r="F111" s="350"/>
      <c r="G111" s="350"/>
      <c r="H111" s="350"/>
      <c r="I111" s="350"/>
      <c r="J111" s="350"/>
      <c r="K111" s="350"/>
      <c r="L111" s="350"/>
      <c r="M111" s="350"/>
      <c r="N111" s="350"/>
      <c r="O111" s="350"/>
      <c r="P111" s="350"/>
      <c r="Q111" s="350"/>
      <c r="R111" s="350"/>
      <c r="S111" s="350"/>
      <c r="T111" s="350"/>
      <c r="U111" s="350"/>
      <c r="V111" s="350"/>
      <c r="W111" s="350"/>
      <c r="X111" s="350"/>
      <c r="Y111" s="350"/>
      <c r="Z111" s="350"/>
      <c r="AA111" s="350"/>
      <c r="AB111" s="350"/>
      <c r="AC111" s="350"/>
      <c r="AD111" s="350"/>
      <c r="AE111" s="350"/>
      <c r="AF111" s="350"/>
      <c r="AG111" s="350"/>
      <c r="AH111" s="350"/>
      <c r="AI111" s="350"/>
      <c r="AJ111" s="350"/>
      <c r="AK111" s="350"/>
      <c r="AL111" s="350"/>
      <c r="AM111" s="350"/>
      <c r="AN111" s="350"/>
      <c r="AO111" s="350"/>
      <c r="AP111" s="350"/>
      <c r="AQ111" s="350"/>
      <c r="AR111" s="350"/>
      <c r="AS111" s="350"/>
      <c r="AT111" s="350"/>
      <c r="AU111" s="350"/>
      <c r="AV111" s="350"/>
      <c r="AW111" s="350"/>
      <c r="AX111" s="350"/>
      <c r="AY111" s="350"/>
      <c r="AZ111" s="350"/>
      <c r="BA111" s="350"/>
      <c r="BB111" s="350"/>
      <c r="BC111" s="350"/>
      <c r="BD111" s="350"/>
      <c r="BE111" s="350"/>
      <c r="BF111" s="350"/>
      <c r="BG111" s="350"/>
      <c r="BH111" s="350"/>
      <c r="BI111" s="350"/>
    </row>
    <row r="112" spans="1:61">
      <c r="A112" s="350"/>
      <c r="B112" s="350"/>
      <c r="C112" s="350"/>
      <c r="D112" s="350"/>
      <c r="E112" s="350"/>
      <c r="F112" s="350"/>
      <c r="G112" s="350"/>
      <c r="H112" s="350"/>
      <c r="I112" s="350"/>
      <c r="J112" s="350"/>
      <c r="K112" s="350"/>
      <c r="L112" s="350"/>
      <c r="M112" s="350"/>
      <c r="N112" s="350"/>
      <c r="O112" s="350"/>
      <c r="P112" s="350"/>
      <c r="X112" s="350"/>
      <c r="Y112" s="350"/>
      <c r="Z112" s="350"/>
      <c r="AA112" s="350"/>
      <c r="AB112" s="350"/>
      <c r="AC112" s="350"/>
      <c r="AD112" s="350"/>
      <c r="AE112" s="350"/>
      <c r="AF112" s="350"/>
      <c r="AG112" s="350"/>
      <c r="AH112" s="350"/>
      <c r="AI112" s="350"/>
      <c r="AJ112" s="350"/>
      <c r="AK112" s="350"/>
      <c r="AL112" s="350"/>
      <c r="AM112" s="350"/>
      <c r="AN112" s="350"/>
      <c r="AO112" s="350"/>
      <c r="AP112" s="350"/>
      <c r="AQ112" s="350"/>
      <c r="AR112" s="350"/>
      <c r="AS112" s="350"/>
      <c r="AT112" s="350"/>
      <c r="AU112" s="350"/>
      <c r="AV112" s="350"/>
      <c r="AW112" s="350"/>
      <c r="AX112" s="350"/>
      <c r="AY112" s="350"/>
      <c r="AZ112" s="350"/>
      <c r="BA112" s="350"/>
      <c r="BB112" s="350"/>
      <c r="BC112" s="350"/>
      <c r="BD112" s="350"/>
      <c r="BE112" s="350"/>
      <c r="BF112" s="350"/>
      <c r="BG112" s="350"/>
      <c r="BH112" s="350"/>
      <c r="BI112" s="350"/>
    </row>
    <row r="113" spans="1:61" ht="15.75" thickBot="1">
      <c r="A113" s="1" t="s">
        <v>889</v>
      </c>
      <c r="B113" s="350"/>
      <c r="C113" s="350"/>
      <c r="D113" s="350"/>
      <c r="E113" s="350"/>
      <c r="F113" s="350"/>
      <c r="G113" s="350"/>
      <c r="H113" s="350"/>
      <c r="I113" s="350"/>
      <c r="J113" s="350"/>
      <c r="K113" s="350"/>
      <c r="L113" s="350"/>
      <c r="M113" s="350"/>
      <c r="N113" s="350"/>
      <c r="O113" s="350"/>
      <c r="P113" s="350"/>
      <c r="R113" s="350"/>
      <c r="S113" s="350"/>
      <c r="T113" s="350"/>
      <c r="U113" s="350"/>
      <c r="V113" s="350"/>
      <c r="W113" s="350"/>
      <c r="X113" s="350"/>
      <c r="Y113" s="350"/>
      <c r="Z113" s="350"/>
      <c r="AA113" s="350"/>
      <c r="AB113" s="350"/>
      <c r="AC113" s="350"/>
      <c r="AD113" s="350"/>
      <c r="AE113" s="350"/>
      <c r="AF113" s="350"/>
      <c r="AG113" s="350"/>
      <c r="AH113" s="350"/>
      <c r="AI113" s="350"/>
      <c r="AJ113" s="350"/>
      <c r="AK113" s="350"/>
      <c r="AL113" s="350"/>
      <c r="AM113" s="350"/>
      <c r="AN113" s="350"/>
      <c r="AO113" s="350"/>
      <c r="AP113" s="350"/>
      <c r="AQ113" s="350"/>
      <c r="AR113" s="350"/>
      <c r="AS113" s="350"/>
      <c r="AT113" s="350"/>
      <c r="AU113" s="350"/>
      <c r="AV113" s="350"/>
      <c r="AW113" s="350"/>
      <c r="AX113" s="350"/>
      <c r="AY113" s="350"/>
      <c r="AZ113" s="350"/>
      <c r="BA113" s="350"/>
      <c r="BB113" s="350"/>
      <c r="BC113" s="350"/>
      <c r="BD113" s="350"/>
      <c r="BE113" s="350"/>
      <c r="BF113" s="350"/>
      <c r="BG113" s="350"/>
      <c r="BH113" s="350"/>
      <c r="BI113" s="350"/>
    </row>
    <row r="114" spans="1:61">
      <c r="A114" s="350"/>
      <c r="B114" s="350"/>
      <c r="C114" s="350"/>
      <c r="D114" s="350"/>
      <c r="E114" s="350"/>
      <c r="F114" s="350"/>
      <c r="G114" s="350"/>
      <c r="H114" s="350"/>
      <c r="I114" s="350"/>
      <c r="J114" s="350"/>
      <c r="K114" s="350"/>
      <c r="L114" s="350"/>
      <c r="M114" s="350"/>
      <c r="N114" s="350"/>
      <c r="O114" s="350"/>
      <c r="P114" s="355" t="s">
        <v>170</v>
      </c>
      <c r="Q114" s="356"/>
      <c r="R114" s="356"/>
      <c r="S114" s="356"/>
      <c r="T114" s="357"/>
      <c r="U114" s="350"/>
      <c r="V114" s="350"/>
      <c r="W114" s="350"/>
      <c r="X114" s="350"/>
      <c r="Y114" s="350"/>
      <c r="Z114" s="350"/>
      <c r="AA114" s="350"/>
      <c r="AB114" s="350"/>
      <c r="AC114" s="350"/>
      <c r="AD114" s="350"/>
      <c r="AE114" s="350"/>
      <c r="AF114" s="350"/>
      <c r="AG114" s="350"/>
      <c r="AH114" s="350"/>
      <c r="AI114" s="350"/>
      <c r="AJ114" s="350"/>
      <c r="AK114" s="350"/>
      <c r="AL114" s="350"/>
      <c r="AM114" s="350"/>
      <c r="AN114" s="350"/>
      <c r="AO114" s="350"/>
      <c r="AP114" s="350"/>
      <c r="AQ114" s="350"/>
      <c r="AR114" s="350"/>
      <c r="AS114" s="350"/>
      <c r="AT114" s="350"/>
      <c r="AU114" s="350"/>
      <c r="AV114" s="350"/>
      <c r="AW114" s="350"/>
      <c r="AX114" s="350"/>
      <c r="AY114" s="350"/>
      <c r="AZ114" s="350"/>
      <c r="BA114" s="350"/>
      <c r="BB114" s="350"/>
      <c r="BC114" s="350"/>
      <c r="BD114" s="350"/>
      <c r="BE114" s="350"/>
      <c r="BF114" s="350"/>
      <c r="BG114" s="350"/>
      <c r="BH114" s="350"/>
      <c r="BI114" s="350"/>
    </row>
    <row r="115" spans="1:61" ht="15.75" thickBot="1">
      <c r="A115" s="350"/>
      <c r="B115" s="350"/>
      <c r="C115" s="350"/>
      <c r="D115" s="350"/>
      <c r="E115" s="350"/>
      <c r="F115" s="350"/>
      <c r="G115" s="350"/>
      <c r="H115" s="350"/>
      <c r="I115" s="350"/>
      <c r="J115" s="350"/>
      <c r="K115" s="350"/>
      <c r="L115" s="350"/>
      <c r="M115" s="350"/>
      <c r="N115" s="350"/>
      <c r="O115" s="350"/>
      <c r="P115" s="32"/>
      <c r="Q115" s="33" t="s">
        <v>10</v>
      </c>
      <c r="R115" s="20" t="s">
        <v>6</v>
      </c>
      <c r="S115" s="20" t="s">
        <v>890</v>
      </c>
      <c r="T115" s="737" t="s">
        <v>891</v>
      </c>
      <c r="U115" s="350"/>
      <c r="V115" s="350"/>
      <c r="W115" s="350"/>
      <c r="X115" s="350"/>
      <c r="Y115" s="350"/>
      <c r="Z115" s="350"/>
      <c r="AA115" s="350"/>
      <c r="AB115" s="350"/>
      <c r="AC115" s="350"/>
      <c r="AD115" s="350"/>
      <c r="AE115" s="350"/>
      <c r="AF115" s="350"/>
      <c r="AG115" s="350"/>
      <c r="AH115" s="350"/>
      <c r="AI115" s="350"/>
      <c r="AJ115" s="350"/>
      <c r="AK115" s="350"/>
      <c r="AL115" s="350"/>
      <c r="AM115" s="350"/>
      <c r="AN115" s="350"/>
      <c r="AO115" s="350"/>
      <c r="AP115" s="350"/>
      <c r="AQ115" s="350"/>
      <c r="AR115" s="350"/>
      <c r="AS115" s="350"/>
      <c r="AT115" s="350"/>
      <c r="AU115" s="350"/>
      <c r="AV115" s="350"/>
      <c r="AW115" s="350"/>
      <c r="AX115" s="350"/>
      <c r="AY115" s="350"/>
      <c r="AZ115" s="350"/>
      <c r="BA115" s="350"/>
      <c r="BB115" s="350"/>
      <c r="BC115" s="350"/>
      <c r="BD115" s="350"/>
      <c r="BE115" s="350"/>
      <c r="BF115" s="350"/>
      <c r="BG115" s="350"/>
      <c r="BH115" s="350"/>
      <c r="BI115" s="350"/>
    </row>
    <row r="116" spans="1:61">
      <c r="A116" s="350"/>
      <c r="B116" s="350"/>
      <c r="C116" s="350"/>
      <c r="D116" s="350"/>
      <c r="E116" s="350"/>
      <c r="F116" s="350"/>
      <c r="G116" s="350"/>
      <c r="H116" s="350"/>
      <c r="I116" s="350"/>
      <c r="J116" s="350"/>
      <c r="K116" s="350"/>
      <c r="L116" s="350"/>
      <c r="M116" s="350"/>
      <c r="N116" s="350"/>
      <c r="O116" s="350"/>
      <c r="P116" s="26" t="s">
        <v>171</v>
      </c>
      <c r="Q116" s="345">
        <v>1</v>
      </c>
      <c r="R116" s="345">
        <v>1</v>
      </c>
      <c r="S116" s="345">
        <v>1</v>
      </c>
      <c r="T116" s="346">
        <v>1</v>
      </c>
      <c r="U116" s="350"/>
      <c r="V116" s="350"/>
      <c r="W116" s="350"/>
      <c r="X116" s="350"/>
      <c r="Y116" s="350"/>
      <c r="Z116" s="350"/>
      <c r="AA116" s="350"/>
      <c r="AB116" s="350"/>
      <c r="AC116" s="350"/>
      <c r="AD116" s="350"/>
      <c r="AE116" s="350"/>
      <c r="AF116" s="350"/>
      <c r="AG116" s="350"/>
      <c r="AH116" s="350"/>
      <c r="AI116" s="350"/>
      <c r="AJ116" s="350"/>
      <c r="AK116" s="350"/>
      <c r="AL116" s="350"/>
      <c r="AM116" s="350"/>
      <c r="AN116" s="350"/>
      <c r="AO116" s="350"/>
      <c r="AP116" s="350"/>
      <c r="AQ116" s="350"/>
      <c r="AR116" s="350"/>
      <c r="AS116" s="350"/>
      <c r="AT116" s="350"/>
      <c r="AU116" s="350"/>
      <c r="AV116" s="350"/>
      <c r="AW116" s="350"/>
      <c r="AX116" s="350"/>
      <c r="AY116" s="350"/>
      <c r="AZ116" s="350"/>
      <c r="BA116" s="350"/>
      <c r="BB116" s="350"/>
      <c r="BC116" s="350"/>
      <c r="BD116" s="350"/>
      <c r="BE116" s="350"/>
      <c r="BF116" s="350"/>
      <c r="BG116" s="350"/>
      <c r="BH116" s="350"/>
      <c r="BI116" s="350"/>
    </row>
    <row r="117" spans="1:61" ht="15.75" thickBot="1">
      <c r="A117" s="350"/>
      <c r="B117" s="350"/>
      <c r="C117" s="350"/>
      <c r="D117" s="350"/>
      <c r="E117" s="350"/>
      <c r="F117" s="350"/>
      <c r="G117" s="350"/>
      <c r="H117" s="350"/>
      <c r="I117" s="350"/>
      <c r="J117" s="350"/>
      <c r="K117" s="350"/>
      <c r="L117" s="350"/>
      <c r="M117" s="350"/>
      <c r="N117" s="350"/>
      <c r="O117" s="350"/>
      <c r="P117" s="27" t="s">
        <v>172</v>
      </c>
      <c r="Q117" s="347">
        <f>'Hałas-zdezagr.krańc'!Q168/'Hałas-zdezagr.krańc'!Q143</f>
        <v>0.1238330587589237</v>
      </c>
      <c r="R117" s="347">
        <f>'Hałas-zdezagr.krańc'!Q171/'Hałas-zdezagr.krańc'!Q146</f>
        <v>0.12391913650187843</v>
      </c>
      <c r="S117" s="347">
        <f>'Hałas-zdezagr.krańc'!Q184/'Hałas-zdezagr.krańc'!Q159</f>
        <v>0.129656384098329</v>
      </c>
      <c r="T117" s="348">
        <f>'Hałas-zdezagr.krańc'!Q187/'Hałas-zdezagr.krańc'!Q162</f>
        <v>0.1444338825517533</v>
      </c>
      <c r="X117" s="350"/>
      <c r="Y117" s="350"/>
      <c r="Z117" s="350"/>
      <c r="AA117" s="350"/>
      <c r="AB117" s="350"/>
      <c r="AC117" s="350"/>
      <c r="AD117" s="350"/>
      <c r="AE117" s="350"/>
      <c r="AF117" s="350"/>
      <c r="AG117" s="350"/>
      <c r="AH117" s="350"/>
      <c r="AI117" s="350"/>
      <c r="AJ117" s="350"/>
      <c r="AK117" s="350"/>
      <c r="AL117" s="350"/>
      <c r="AM117" s="350"/>
      <c r="AN117" s="350"/>
      <c r="AO117" s="350"/>
      <c r="AP117" s="350"/>
      <c r="AQ117" s="350"/>
      <c r="AR117" s="350"/>
      <c r="AS117" s="350"/>
      <c r="AT117" s="350"/>
      <c r="AU117" s="350"/>
      <c r="AV117" s="350"/>
      <c r="AW117" s="350"/>
      <c r="AX117" s="350"/>
      <c r="AY117" s="350"/>
      <c r="AZ117" s="350"/>
      <c r="BA117" s="350"/>
      <c r="BB117" s="350"/>
      <c r="BC117" s="350"/>
      <c r="BD117" s="350"/>
      <c r="BE117" s="350"/>
      <c r="BF117" s="350"/>
      <c r="BG117" s="350"/>
      <c r="BH117" s="350"/>
      <c r="BI117" s="350"/>
    </row>
    <row r="118" spans="1:61">
      <c r="A118" s="350"/>
      <c r="B118" s="350"/>
      <c r="C118" s="350"/>
      <c r="D118" s="350"/>
      <c r="E118" s="350"/>
      <c r="F118" s="350"/>
      <c r="G118" s="350"/>
      <c r="H118" s="350"/>
      <c r="I118" s="350"/>
      <c r="J118" s="350"/>
      <c r="K118" s="350"/>
      <c r="L118" s="350"/>
      <c r="M118" s="350"/>
      <c r="N118" s="350"/>
      <c r="O118" s="350"/>
      <c r="P118" s="35" t="s">
        <v>758</v>
      </c>
      <c r="Q118" s="350"/>
      <c r="R118" s="350"/>
      <c r="S118" s="350"/>
      <c r="T118" s="350"/>
      <c r="U118" s="350"/>
      <c r="V118" s="350"/>
      <c r="W118" s="350"/>
      <c r="X118" s="350"/>
      <c r="Y118" s="350"/>
      <c r="Z118" s="350"/>
      <c r="AA118" s="350"/>
      <c r="AB118" s="350"/>
      <c r="AC118" s="350"/>
      <c r="AD118" s="350"/>
      <c r="AE118" s="350"/>
      <c r="AF118" s="350"/>
      <c r="AG118" s="350"/>
      <c r="AH118" s="350"/>
      <c r="AI118" s="350"/>
      <c r="AJ118" s="350"/>
      <c r="AK118" s="350"/>
      <c r="AL118" s="350"/>
      <c r="AM118" s="350"/>
      <c r="AN118" s="350"/>
      <c r="AO118" s="350"/>
      <c r="AP118" s="350"/>
      <c r="AQ118" s="350"/>
      <c r="AR118" s="350"/>
      <c r="AS118" s="350"/>
      <c r="AT118" s="350"/>
      <c r="AU118" s="350"/>
      <c r="AV118" s="350"/>
      <c r="AW118" s="350"/>
      <c r="AX118" s="350"/>
      <c r="AY118" s="350"/>
      <c r="AZ118" s="350"/>
      <c r="BA118" s="350"/>
      <c r="BB118" s="350"/>
      <c r="BC118" s="350"/>
      <c r="BD118" s="350"/>
      <c r="BE118" s="350"/>
      <c r="BF118" s="350"/>
      <c r="BG118" s="350"/>
      <c r="BH118" s="350"/>
      <c r="BI118" s="350"/>
    </row>
    <row r="119" spans="1:61" s="672" customFormat="1"/>
    <row r="120" spans="1:61">
      <c r="A120" s="331" t="s">
        <v>922</v>
      </c>
      <c r="B120" s="350"/>
      <c r="C120" s="350"/>
      <c r="D120" s="350"/>
      <c r="E120" s="350"/>
      <c r="F120" s="350"/>
      <c r="G120" s="350"/>
      <c r="H120" s="350"/>
      <c r="I120" s="350"/>
      <c r="J120" s="350"/>
      <c r="K120" s="350"/>
      <c r="L120" s="350"/>
      <c r="M120" s="350"/>
      <c r="N120" s="350"/>
      <c r="O120" s="350"/>
      <c r="P120" s="350"/>
      <c r="Q120" s="350"/>
      <c r="R120" s="350"/>
      <c r="S120" s="350"/>
      <c r="T120" s="350"/>
      <c r="U120" s="350"/>
      <c r="V120" s="350"/>
      <c r="W120" s="350"/>
      <c r="X120" s="350"/>
      <c r="Y120" s="350"/>
      <c r="Z120" s="350"/>
      <c r="AA120" s="350"/>
      <c r="AB120" s="350"/>
      <c r="AC120" s="350"/>
      <c r="AD120" s="350"/>
      <c r="AE120" s="350"/>
      <c r="AF120" s="350"/>
      <c r="AG120" s="350"/>
      <c r="AH120" s="350"/>
      <c r="AI120" s="350"/>
      <c r="AJ120" s="350"/>
      <c r="AK120" s="350"/>
      <c r="AL120" s="350"/>
      <c r="AM120" s="350"/>
      <c r="AN120" s="350"/>
      <c r="AO120" s="350"/>
      <c r="AP120" s="350"/>
      <c r="AQ120" s="350"/>
      <c r="AR120" s="350"/>
      <c r="AS120" s="350"/>
      <c r="AT120" s="350"/>
      <c r="AU120" s="350"/>
      <c r="AV120" s="350"/>
      <c r="AW120" s="350"/>
      <c r="AX120" s="350"/>
      <c r="AY120" s="350"/>
      <c r="AZ120" s="350"/>
      <c r="BA120" s="350"/>
      <c r="BB120" s="350"/>
      <c r="BC120" s="350"/>
      <c r="BD120" s="350"/>
      <c r="BE120" s="350"/>
      <c r="BF120" s="350"/>
      <c r="BG120" s="350"/>
      <c r="BH120" s="350"/>
      <c r="BI120" s="350"/>
    </row>
    <row r="121" spans="1:61">
      <c r="A121" s="872"/>
      <c r="B121" s="663" t="s">
        <v>309</v>
      </c>
      <c r="C121" s="649"/>
      <c r="D121" s="649"/>
      <c r="E121" s="649"/>
      <c r="F121" s="649"/>
      <c r="G121" s="649"/>
      <c r="H121" s="649"/>
      <c r="I121" s="649"/>
      <c r="J121" s="649"/>
      <c r="K121" s="649"/>
      <c r="L121" s="649"/>
      <c r="M121" s="649"/>
      <c r="N121" s="649"/>
      <c r="O121" s="649"/>
      <c r="P121" s="652"/>
      <c r="Q121" s="6"/>
      <c r="R121" s="6"/>
      <c r="S121" s="6"/>
      <c r="T121" s="6">
        <v>2020</v>
      </c>
      <c r="U121" s="6">
        <f>T121+1</f>
        <v>2021</v>
      </c>
      <c r="V121" s="6">
        <f t="shared" ref="V121:BI121" si="9">U121+1</f>
        <v>2022</v>
      </c>
      <c r="W121" s="6">
        <f t="shared" si="9"/>
        <v>2023</v>
      </c>
      <c r="X121" s="6">
        <f t="shared" si="9"/>
        <v>2024</v>
      </c>
      <c r="Y121" s="6">
        <f t="shared" si="9"/>
        <v>2025</v>
      </c>
      <c r="Z121" s="6">
        <f t="shared" si="9"/>
        <v>2026</v>
      </c>
      <c r="AA121" s="6">
        <f t="shared" si="9"/>
        <v>2027</v>
      </c>
      <c r="AB121" s="6">
        <f t="shared" si="9"/>
        <v>2028</v>
      </c>
      <c r="AC121" s="6">
        <f t="shared" si="9"/>
        <v>2029</v>
      </c>
      <c r="AD121" s="6">
        <f t="shared" si="9"/>
        <v>2030</v>
      </c>
      <c r="AE121" s="6">
        <f t="shared" si="9"/>
        <v>2031</v>
      </c>
      <c r="AF121" s="6">
        <f t="shared" si="9"/>
        <v>2032</v>
      </c>
      <c r="AG121" s="6">
        <f t="shared" si="9"/>
        <v>2033</v>
      </c>
      <c r="AH121" s="6">
        <f t="shared" si="9"/>
        <v>2034</v>
      </c>
      <c r="AI121" s="6">
        <f t="shared" si="9"/>
        <v>2035</v>
      </c>
      <c r="AJ121" s="6">
        <f t="shared" si="9"/>
        <v>2036</v>
      </c>
      <c r="AK121" s="6">
        <f t="shared" si="9"/>
        <v>2037</v>
      </c>
      <c r="AL121" s="6">
        <f t="shared" si="9"/>
        <v>2038</v>
      </c>
      <c r="AM121" s="6">
        <f t="shared" si="9"/>
        <v>2039</v>
      </c>
      <c r="AN121" s="6">
        <f t="shared" si="9"/>
        <v>2040</v>
      </c>
      <c r="AO121" s="6">
        <f t="shared" si="9"/>
        <v>2041</v>
      </c>
      <c r="AP121" s="6">
        <f t="shared" si="9"/>
        <v>2042</v>
      </c>
      <c r="AQ121" s="6">
        <f t="shared" si="9"/>
        <v>2043</v>
      </c>
      <c r="AR121" s="6">
        <f t="shared" si="9"/>
        <v>2044</v>
      </c>
      <c r="AS121" s="6">
        <f t="shared" si="9"/>
        <v>2045</v>
      </c>
      <c r="AT121" s="6">
        <f t="shared" si="9"/>
        <v>2046</v>
      </c>
      <c r="AU121" s="6">
        <f t="shared" si="9"/>
        <v>2047</v>
      </c>
      <c r="AV121" s="6">
        <f t="shared" si="9"/>
        <v>2048</v>
      </c>
      <c r="AW121" s="6">
        <f t="shared" si="9"/>
        <v>2049</v>
      </c>
      <c r="AX121" s="6">
        <f t="shared" si="9"/>
        <v>2050</v>
      </c>
      <c r="AY121" s="6">
        <f t="shared" si="9"/>
        <v>2051</v>
      </c>
      <c r="AZ121" s="6">
        <f t="shared" si="9"/>
        <v>2052</v>
      </c>
      <c r="BA121" s="6">
        <f t="shared" si="9"/>
        <v>2053</v>
      </c>
      <c r="BB121" s="6">
        <f t="shared" si="9"/>
        <v>2054</v>
      </c>
      <c r="BC121" s="6">
        <f t="shared" si="9"/>
        <v>2055</v>
      </c>
      <c r="BD121" s="6">
        <f t="shared" si="9"/>
        <v>2056</v>
      </c>
      <c r="BE121" s="6">
        <f t="shared" si="9"/>
        <v>2057</v>
      </c>
      <c r="BF121" s="6">
        <f t="shared" si="9"/>
        <v>2058</v>
      </c>
      <c r="BG121" s="6">
        <f t="shared" si="9"/>
        <v>2059</v>
      </c>
      <c r="BH121" s="6">
        <f t="shared" si="9"/>
        <v>2060</v>
      </c>
      <c r="BI121" s="6">
        <f t="shared" si="9"/>
        <v>2061</v>
      </c>
    </row>
    <row r="122" spans="1:61">
      <c r="A122" s="873"/>
      <c r="B122" s="664" t="s">
        <v>510</v>
      </c>
      <c r="C122" s="659"/>
      <c r="D122" s="659"/>
      <c r="E122" s="659"/>
      <c r="F122" s="659"/>
      <c r="G122" s="659"/>
      <c r="H122" s="659"/>
      <c r="I122" s="659"/>
      <c r="J122" s="659"/>
      <c r="K122" s="659"/>
      <c r="L122" s="659"/>
      <c r="M122" s="659"/>
      <c r="N122" s="659"/>
      <c r="O122" s="659"/>
      <c r="P122" s="665"/>
      <c r="Q122" s="661">
        <f>DATE(2016,12,31)</f>
        <v>42735</v>
      </c>
      <c r="R122" s="661">
        <f>DATE(YEAR(Q122+1),12,31)</f>
        <v>43100</v>
      </c>
      <c r="S122" s="661">
        <f t="shared" ref="S122" si="10">DATE(YEAR(R122+1),12,31)</f>
        <v>43465</v>
      </c>
      <c r="T122" s="661">
        <f>DATE(YEAR(S122+1),12,31)</f>
        <v>43830</v>
      </c>
      <c r="U122" s="661">
        <f t="shared" ref="U122:BI122" si="11">DATE(YEAR(T122+1),12,31)</f>
        <v>44196</v>
      </c>
      <c r="V122" s="661">
        <f t="shared" si="11"/>
        <v>44561</v>
      </c>
      <c r="W122" s="661">
        <f t="shared" si="11"/>
        <v>44926</v>
      </c>
      <c r="X122" s="661">
        <f t="shared" si="11"/>
        <v>45291</v>
      </c>
      <c r="Y122" s="661">
        <f t="shared" si="11"/>
        <v>45657</v>
      </c>
      <c r="Z122" s="661">
        <f t="shared" si="11"/>
        <v>46022</v>
      </c>
      <c r="AA122" s="661">
        <f t="shared" si="11"/>
        <v>46387</v>
      </c>
      <c r="AB122" s="661">
        <f t="shared" si="11"/>
        <v>46752</v>
      </c>
      <c r="AC122" s="661">
        <f t="shared" si="11"/>
        <v>47118</v>
      </c>
      <c r="AD122" s="661">
        <f t="shared" si="11"/>
        <v>47483</v>
      </c>
      <c r="AE122" s="661">
        <f t="shared" si="11"/>
        <v>47848</v>
      </c>
      <c r="AF122" s="661">
        <f t="shared" si="11"/>
        <v>48213</v>
      </c>
      <c r="AG122" s="661">
        <f t="shared" si="11"/>
        <v>48579</v>
      </c>
      <c r="AH122" s="661">
        <f t="shared" si="11"/>
        <v>48944</v>
      </c>
      <c r="AI122" s="661">
        <f t="shared" si="11"/>
        <v>49309</v>
      </c>
      <c r="AJ122" s="661">
        <f t="shared" si="11"/>
        <v>49674</v>
      </c>
      <c r="AK122" s="661">
        <f t="shared" si="11"/>
        <v>50040</v>
      </c>
      <c r="AL122" s="661">
        <f t="shared" si="11"/>
        <v>50405</v>
      </c>
      <c r="AM122" s="661">
        <f t="shared" si="11"/>
        <v>50770</v>
      </c>
      <c r="AN122" s="661">
        <f t="shared" si="11"/>
        <v>51135</v>
      </c>
      <c r="AO122" s="661">
        <f t="shared" si="11"/>
        <v>51501</v>
      </c>
      <c r="AP122" s="661">
        <f t="shared" si="11"/>
        <v>51866</v>
      </c>
      <c r="AQ122" s="661">
        <f t="shared" si="11"/>
        <v>52231</v>
      </c>
      <c r="AR122" s="661">
        <f t="shared" si="11"/>
        <v>52596</v>
      </c>
      <c r="AS122" s="661">
        <f t="shared" si="11"/>
        <v>52962</v>
      </c>
      <c r="AT122" s="661">
        <f t="shared" si="11"/>
        <v>53327</v>
      </c>
      <c r="AU122" s="661">
        <f t="shared" si="11"/>
        <v>53692</v>
      </c>
      <c r="AV122" s="661">
        <f t="shared" si="11"/>
        <v>54057</v>
      </c>
      <c r="AW122" s="661">
        <f t="shared" si="11"/>
        <v>54423</v>
      </c>
      <c r="AX122" s="661">
        <f t="shared" si="11"/>
        <v>54788</v>
      </c>
      <c r="AY122" s="661">
        <f t="shared" si="11"/>
        <v>55153</v>
      </c>
      <c r="AZ122" s="661">
        <f t="shared" si="11"/>
        <v>55518</v>
      </c>
      <c r="BA122" s="661">
        <f t="shared" si="11"/>
        <v>55884</v>
      </c>
      <c r="BB122" s="661">
        <f t="shared" si="11"/>
        <v>56249</v>
      </c>
      <c r="BC122" s="661">
        <f t="shared" si="11"/>
        <v>56614</v>
      </c>
      <c r="BD122" s="661">
        <f t="shared" si="11"/>
        <v>56979</v>
      </c>
      <c r="BE122" s="661">
        <f t="shared" si="11"/>
        <v>57345</v>
      </c>
      <c r="BF122" s="661">
        <f t="shared" si="11"/>
        <v>57710</v>
      </c>
      <c r="BG122" s="661">
        <f t="shared" si="11"/>
        <v>58075</v>
      </c>
      <c r="BH122" s="661">
        <f t="shared" si="11"/>
        <v>58440</v>
      </c>
      <c r="BI122" s="661">
        <f t="shared" si="11"/>
        <v>58806</v>
      </c>
    </row>
    <row r="123" spans="1:61" ht="45">
      <c r="A123" s="333" t="s">
        <v>493</v>
      </c>
      <c r="B123" s="334"/>
      <c r="C123" s="334"/>
      <c r="D123" s="334"/>
      <c r="E123" s="334"/>
      <c r="F123" s="334"/>
      <c r="G123" s="334"/>
      <c r="H123" s="334"/>
      <c r="I123" s="334"/>
      <c r="J123" s="334"/>
      <c r="K123" s="334"/>
      <c r="L123" s="334"/>
      <c r="M123" s="334"/>
      <c r="N123" s="334"/>
      <c r="O123" s="334"/>
      <c r="P123" s="334"/>
      <c r="Q123" s="334"/>
      <c r="R123" s="334"/>
      <c r="S123" s="334"/>
      <c r="T123" s="335">
        <f>T$102*$Q$116</f>
        <v>3.548355723489769E-2</v>
      </c>
      <c r="U123" s="335">
        <f t="shared" ref="U123:BI123" si="12">U$102*$Q$116</f>
        <v>3.6098426939440799E-2</v>
      </c>
      <c r="V123" s="335">
        <f t="shared" si="12"/>
        <v>4.0043698214676751E-2</v>
      </c>
      <c r="W123" s="335">
        <f t="shared" si="12"/>
        <v>4.7869962269799227E-2</v>
      </c>
      <c r="X123" s="335">
        <f t="shared" si="12"/>
        <v>5.3412755650993848E-2</v>
      </c>
      <c r="Y123" s="335">
        <f t="shared" si="12"/>
        <v>5.4876755229670837E-2</v>
      </c>
      <c r="Z123" s="335">
        <f t="shared" si="12"/>
        <v>5.6646955092539482E-2</v>
      </c>
      <c r="AA123" s="335">
        <f t="shared" si="12"/>
        <v>5.8342814606587121E-2</v>
      </c>
      <c r="AB123" s="335">
        <f t="shared" si="12"/>
        <v>5.9786946279037155E-2</v>
      </c>
      <c r="AC123" s="335">
        <f t="shared" si="12"/>
        <v>6.1272016108574745E-2</v>
      </c>
      <c r="AD123" s="335">
        <f t="shared" si="12"/>
        <v>6.2753988997557214E-2</v>
      </c>
      <c r="AE123" s="335">
        <f t="shared" si="12"/>
        <v>6.4229828950923995E-2</v>
      </c>
      <c r="AF123" s="335">
        <f t="shared" si="12"/>
        <v>6.5614828219581728E-2</v>
      </c>
      <c r="AG123" s="335">
        <f t="shared" si="12"/>
        <v>6.6945907259669105E-2</v>
      </c>
      <c r="AH123" s="335">
        <f t="shared" si="12"/>
        <v>6.8322969231721362E-2</v>
      </c>
      <c r="AI123" s="335">
        <f t="shared" si="12"/>
        <v>6.9739789231888977E-2</v>
      </c>
      <c r="AJ123" s="335">
        <f t="shared" si="12"/>
        <v>7.1085143814448457E-2</v>
      </c>
      <c r="AK123" s="335">
        <f t="shared" si="12"/>
        <v>7.2409319135930544E-2</v>
      </c>
      <c r="AL123" s="335">
        <f t="shared" si="12"/>
        <v>7.3705350197964439E-2</v>
      </c>
      <c r="AM123" s="335">
        <f t="shared" si="12"/>
        <v>7.4973732179350119E-2</v>
      </c>
      <c r="AN123" s="335">
        <f t="shared" si="12"/>
        <v>7.6150405894781961E-2</v>
      </c>
      <c r="AO123" s="335">
        <f t="shared" si="12"/>
        <v>7.7228958963736466E-2</v>
      </c>
      <c r="AP123" s="335">
        <f t="shared" si="12"/>
        <v>7.8266112427176279E-2</v>
      </c>
      <c r="AQ123" s="335">
        <f t="shared" si="12"/>
        <v>7.9196166561629797E-2</v>
      </c>
      <c r="AR123" s="335">
        <f t="shared" si="12"/>
        <v>8.0074229449162648E-2</v>
      </c>
      <c r="AS123" s="335">
        <f t="shared" si="12"/>
        <v>8.0966680233714311E-2</v>
      </c>
      <c r="AT123" s="335">
        <f t="shared" si="12"/>
        <v>8.1878582299453689E-2</v>
      </c>
      <c r="AU123" s="335">
        <f t="shared" si="12"/>
        <v>8.2805131619384686E-2</v>
      </c>
      <c r="AV123" s="335">
        <f t="shared" si="12"/>
        <v>8.3746483975206495E-2</v>
      </c>
      <c r="AW123" s="335">
        <f t="shared" si="12"/>
        <v>8.4703767046565348E-2</v>
      </c>
      <c r="AX123" s="335">
        <f t="shared" si="12"/>
        <v>8.5605217295974062E-2</v>
      </c>
      <c r="AY123" s="335">
        <f t="shared" si="12"/>
        <v>8.6522575295807536E-2</v>
      </c>
      <c r="AZ123" s="335">
        <f t="shared" si="12"/>
        <v>8.745676531535003E-2</v>
      </c>
      <c r="BA123" s="335">
        <f t="shared" si="12"/>
        <v>8.841459885796632E-2</v>
      </c>
      <c r="BB123" s="335">
        <f t="shared" si="12"/>
        <v>8.9462368351893501E-2</v>
      </c>
      <c r="BC123" s="335">
        <f t="shared" si="12"/>
        <v>9.0531719340361694E-2</v>
      </c>
      <c r="BD123" s="335">
        <f t="shared" si="12"/>
        <v>9.1624141875882664E-2</v>
      </c>
      <c r="BE123" s="335">
        <f t="shared" si="12"/>
        <v>9.2740043971492742E-2</v>
      </c>
      <c r="BF123" s="335">
        <f t="shared" si="12"/>
        <v>9.3954764840228591E-2</v>
      </c>
      <c r="BG123" s="335">
        <f t="shared" si="12"/>
        <v>9.5202655663203142E-2</v>
      </c>
      <c r="BH123" s="335">
        <f t="shared" si="12"/>
        <v>9.6478321479135903E-2</v>
      </c>
      <c r="BI123" s="335">
        <f t="shared" si="12"/>
        <v>9.7854510955632815E-2</v>
      </c>
    </row>
    <row r="124" spans="1:61" ht="45">
      <c r="A124" s="333" t="s">
        <v>892</v>
      </c>
      <c r="B124" s="334"/>
      <c r="C124" s="334"/>
      <c r="D124" s="334"/>
      <c r="E124" s="334"/>
      <c r="F124" s="334"/>
      <c r="G124" s="334"/>
      <c r="H124" s="334"/>
      <c r="I124" s="334"/>
      <c r="J124" s="334"/>
      <c r="K124" s="334"/>
      <c r="L124" s="334"/>
      <c r="M124" s="334"/>
      <c r="N124" s="334"/>
      <c r="O124" s="334"/>
      <c r="P124" s="334"/>
      <c r="Q124" s="334"/>
      <c r="R124" s="334"/>
      <c r="S124" s="334"/>
      <c r="T124" s="335">
        <f>T$110*$T$116</f>
        <v>5.2963615776460422</v>
      </c>
      <c r="U124" s="335">
        <f t="shared" ref="U124:BI124" si="13">U$110*$T$116</f>
        <v>5.3881385169433758</v>
      </c>
      <c r="V124" s="335">
        <f t="shared" si="13"/>
        <v>5.9770192499889259</v>
      </c>
      <c r="W124" s="335">
        <f t="shared" si="13"/>
        <v>7.1451863523925327</v>
      </c>
      <c r="X124" s="335">
        <f t="shared" si="13"/>
        <v>7.9725170989310463</v>
      </c>
      <c r="Y124" s="335">
        <f t="shared" si="13"/>
        <v>8.1910372170484305</v>
      </c>
      <c r="Z124" s="335">
        <f t="shared" si="13"/>
        <v>8.4552615301968022</v>
      </c>
      <c r="AA124" s="335">
        <f t="shared" si="13"/>
        <v>8.7083896230717137</v>
      </c>
      <c r="AB124" s="335">
        <f t="shared" si="13"/>
        <v>8.9239442094507737</v>
      </c>
      <c r="AC124" s="335">
        <f t="shared" si="13"/>
        <v>9.1456093241746341</v>
      </c>
      <c r="AD124" s="335">
        <f t="shared" si="13"/>
        <v>9.3668121820606061</v>
      </c>
      <c r="AE124" s="335">
        <f t="shared" si="13"/>
        <v>9.5870996231427323</v>
      </c>
      <c r="AF124" s="335">
        <f t="shared" si="13"/>
        <v>9.7938279639070664</v>
      </c>
      <c r="AG124" s="335">
        <f t="shared" si="13"/>
        <v>9.992508040937091</v>
      </c>
      <c r="AH124" s="335">
        <f t="shared" si="13"/>
        <v>10.198051641611999</v>
      </c>
      <c r="AI124" s="335">
        <f t="shared" si="13"/>
        <v>10.409529621726914</v>
      </c>
      <c r="AJ124" s="335">
        <f t="shared" si="13"/>
        <v>10.610340500754855</v>
      </c>
      <c r="AK124" s="335">
        <f t="shared" si="13"/>
        <v>10.807990112047698</v>
      </c>
      <c r="AL124" s="335">
        <f t="shared" si="13"/>
        <v>11.001438843102237</v>
      </c>
      <c r="AM124" s="335">
        <f t="shared" si="13"/>
        <v>11.19076060550386</v>
      </c>
      <c r="AN124" s="335">
        <f t="shared" si="13"/>
        <v>11.366393770312657</v>
      </c>
      <c r="AO124" s="335">
        <f t="shared" si="13"/>
        <v>11.527381210101945</v>
      </c>
      <c r="AP124" s="335">
        <f t="shared" si="13"/>
        <v>11.682189244638085</v>
      </c>
      <c r="AQ124" s="335">
        <f t="shared" si="13"/>
        <v>11.821011374286515</v>
      </c>
      <c r="AR124" s="335">
        <f t="shared" si="13"/>
        <v>11.952073164667334</v>
      </c>
      <c r="AS124" s="335">
        <f t="shared" si="13"/>
        <v>12.085282527357466</v>
      </c>
      <c r="AT124" s="335">
        <f t="shared" si="13"/>
        <v>12.221395235324863</v>
      </c>
      <c r="AU124" s="335">
        <f t="shared" si="13"/>
        <v>12.3596942278805</v>
      </c>
      <c r="AV124" s="335">
        <f t="shared" si="13"/>
        <v>12.500202757377586</v>
      </c>
      <c r="AW124" s="335">
        <f t="shared" si="13"/>
        <v>12.643089144007661</v>
      </c>
      <c r="AX124" s="335">
        <f t="shared" si="13"/>
        <v>12.777641788589534</v>
      </c>
      <c r="AY124" s="335">
        <f t="shared" si="13"/>
        <v>12.914568862476189</v>
      </c>
      <c r="AZ124" s="335">
        <f t="shared" si="13"/>
        <v>13.054008324336545</v>
      </c>
      <c r="BA124" s="335">
        <f t="shared" si="13"/>
        <v>13.196976875637942</v>
      </c>
      <c r="BB124" s="335">
        <f t="shared" si="13"/>
        <v>13.353369484561824</v>
      </c>
      <c r="BC124" s="335">
        <f t="shared" si="13"/>
        <v>13.512983399560476</v>
      </c>
      <c r="BD124" s="335">
        <f t="shared" si="13"/>
        <v>13.676041029475822</v>
      </c>
      <c r="BE124" s="335">
        <f t="shared" si="13"/>
        <v>13.842603275320535</v>
      </c>
      <c r="BF124" s="335">
        <f t="shared" si="13"/>
        <v>14.023915450256872</v>
      </c>
      <c r="BG124" s="335">
        <f t="shared" si="13"/>
        <v>14.210178652791688</v>
      </c>
      <c r="BH124" s="335">
        <f t="shared" si="13"/>
        <v>14.40058761795536</v>
      </c>
      <c r="BI124" s="335">
        <f t="shared" si="13"/>
        <v>14.606000987833355</v>
      </c>
    </row>
    <row r="125" spans="1:61" s="734" customFormat="1"/>
    <row r="126" spans="1:61"/>
    <row r="127" spans="1:61">
      <c r="A127" s="759" t="s">
        <v>923</v>
      </c>
      <c r="B127" s="759"/>
      <c r="C127" s="759"/>
      <c r="D127" s="759"/>
      <c r="E127" s="759"/>
      <c r="F127" s="759"/>
      <c r="G127" s="759"/>
      <c r="H127" s="759"/>
      <c r="I127" s="759"/>
      <c r="J127" s="759"/>
      <c r="K127" s="759"/>
      <c r="L127" s="759"/>
      <c r="M127" s="759"/>
      <c r="N127" s="759"/>
      <c r="O127" s="759"/>
      <c r="P127" s="759"/>
      <c r="Q127" s="759"/>
      <c r="R127" s="759"/>
      <c r="S127" s="759"/>
      <c r="T127" s="759"/>
      <c r="U127" s="759"/>
      <c r="V127" s="759"/>
    </row>
    <row r="128" spans="1:61" s="672" customFormat="1">
      <c r="A128" s="759"/>
      <c r="B128" s="759"/>
      <c r="C128" s="759"/>
      <c r="D128" s="759"/>
      <c r="E128" s="759"/>
      <c r="F128" s="759"/>
      <c r="G128" s="759"/>
      <c r="H128" s="759"/>
      <c r="I128" s="759"/>
      <c r="J128" s="759"/>
      <c r="K128" s="759"/>
      <c r="L128" s="759"/>
      <c r="M128" s="759"/>
      <c r="N128" s="759"/>
      <c r="O128" s="759"/>
      <c r="P128" s="759"/>
      <c r="Q128" s="759"/>
      <c r="R128" s="759"/>
      <c r="S128" s="759"/>
      <c r="T128" s="759"/>
      <c r="U128" s="759"/>
      <c r="V128" s="759"/>
    </row>
    <row r="129" spans="1:61">
      <c r="A129" s="793" t="s">
        <v>521</v>
      </c>
      <c r="B129" s="793"/>
      <c r="C129" s="793"/>
      <c r="D129" s="793"/>
      <c r="E129" s="793"/>
      <c r="F129" s="793"/>
      <c r="G129" s="793"/>
      <c r="H129" s="793"/>
      <c r="I129" s="793"/>
      <c r="J129" s="793"/>
      <c r="K129" s="793"/>
      <c r="L129" s="793"/>
      <c r="M129" s="793"/>
      <c r="N129" s="793"/>
      <c r="O129" s="793"/>
      <c r="P129" s="793"/>
      <c r="Q129" s="793"/>
      <c r="R129" s="793"/>
      <c r="S129" s="793"/>
      <c r="T129" s="793"/>
      <c r="U129" s="793"/>
      <c r="V129" s="793"/>
    </row>
    <row r="130" spans="1:61" s="672" customFormat="1">
      <c r="A130" s="793"/>
      <c r="B130" s="793"/>
      <c r="C130" s="793"/>
      <c r="D130" s="793"/>
      <c r="E130" s="793"/>
      <c r="F130" s="793"/>
      <c r="G130" s="793"/>
      <c r="H130" s="793"/>
      <c r="I130" s="793"/>
      <c r="J130" s="793"/>
      <c r="K130" s="793"/>
      <c r="L130" s="793"/>
      <c r="M130" s="793"/>
      <c r="N130" s="793"/>
      <c r="O130" s="793"/>
      <c r="P130" s="793"/>
      <c r="Q130" s="793"/>
      <c r="R130" s="793"/>
      <c r="S130" s="793"/>
      <c r="T130" s="793"/>
      <c r="U130" s="793"/>
      <c r="V130" s="793"/>
    </row>
    <row r="131" spans="1:61" s="592" customFormat="1">
      <c r="A131" s="791" t="s">
        <v>520</v>
      </c>
      <c r="B131" s="791"/>
      <c r="C131" s="791"/>
      <c r="D131" s="791"/>
      <c r="E131" s="791"/>
      <c r="F131" s="791"/>
      <c r="G131" s="791"/>
      <c r="H131" s="791"/>
      <c r="I131" s="791"/>
      <c r="J131" s="791"/>
      <c r="K131" s="791"/>
      <c r="L131" s="791"/>
      <c r="M131" s="791"/>
      <c r="N131" s="791"/>
      <c r="O131" s="791"/>
      <c r="P131" s="791"/>
      <c r="Q131" s="791"/>
      <c r="R131" s="791"/>
      <c r="S131" s="791"/>
      <c r="T131" s="791"/>
      <c r="U131" s="791"/>
      <c r="V131" s="791"/>
    </row>
    <row r="132" spans="1:61" s="672" customFormat="1">
      <c r="A132" s="791"/>
      <c r="B132" s="791"/>
      <c r="C132" s="791"/>
      <c r="D132" s="791"/>
      <c r="E132" s="791"/>
      <c r="F132" s="791"/>
      <c r="G132" s="791"/>
      <c r="H132" s="791"/>
      <c r="I132" s="791"/>
      <c r="J132" s="791"/>
      <c r="K132" s="791"/>
      <c r="L132" s="791"/>
      <c r="M132" s="791"/>
      <c r="N132" s="791"/>
      <c r="O132" s="791"/>
      <c r="P132" s="791"/>
      <c r="Q132" s="791"/>
      <c r="R132" s="791"/>
      <c r="S132" s="791"/>
      <c r="T132" s="791"/>
      <c r="U132" s="791"/>
      <c r="V132" s="791"/>
    </row>
    <row r="133" spans="1:61" s="592" customFormat="1">
      <c r="A133" s="792"/>
      <c r="B133" s="792"/>
      <c r="C133" s="792"/>
      <c r="D133" s="792"/>
      <c r="E133" s="792"/>
      <c r="F133" s="792"/>
      <c r="G133" s="792"/>
      <c r="H133" s="792"/>
      <c r="I133" s="792"/>
      <c r="J133" s="792"/>
      <c r="K133" s="792"/>
      <c r="L133" s="792"/>
      <c r="M133" s="792"/>
      <c r="N133" s="792"/>
      <c r="O133" s="792"/>
      <c r="P133" s="792"/>
      <c r="Q133" s="792"/>
      <c r="R133" s="792"/>
      <c r="S133" s="792"/>
      <c r="T133" s="792"/>
      <c r="U133" s="792"/>
      <c r="V133" s="792"/>
    </row>
    <row r="134" spans="1:61">
      <c r="A134" s="872"/>
      <c r="B134" s="663" t="s">
        <v>309</v>
      </c>
      <c r="C134" s="649"/>
      <c r="D134" s="649"/>
      <c r="E134" s="649"/>
      <c r="F134" s="649"/>
      <c r="G134" s="649"/>
      <c r="H134" s="649"/>
      <c r="I134" s="649"/>
      <c r="J134" s="649"/>
      <c r="K134" s="649"/>
      <c r="L134" s="649"/>
      <c r="M134" s="649"/>
      <c r="N134" s="649"/>
      <c r="O134" s="649"/>
      <c r="P134" s="652"/>
      <c r="Q134" s="6"/>
      <c r="R134" s="6"/>
      <c r="S134" s="6"/>
      <c r="T134" s="6">
        <v>2020</v>
      </c>
      <c r="U134" s="6">
        <f>T134+1</f>
        <v>2021</v>
      </c>
      <c r="V134" s="6">
        <f t="shared" ref="V134" si="14">U134+1</f>
        <v>2022</v>
      </c>
      <c r="W134" s="6">
        <f t="shared" ref="W134" si="15">V134+1</f>
        <v>2023</v>
      </c>
      <c r="X134" s="6">
        <f t="shared" ref="X134" si="16">W134+1</f>
        <v>2024</v>
      </c>
      <c r="Y134" s="6">
        <f t="shared" ref="Y134" si="17">X134+1</f>
        <v>2025</v>
      </c>
      <c r="Z134" s="6">
        <f t="shared" ref="Z134" si="18">Y134+1</f>
        <v>2026</v>
      </c>
      <c r="AA134" s="6">
        <f t="shared" ref="AA134" si="19">Z134+1</f>
        <v>2027</v>
      </c>
      <c r="AB134" s="6">
        <f t="shared" ref="AB134" si="20">AA134+1</f>
        <v>2028</v>
      </c>
      <c r="AC134" s="6">
        <f t="shared" ref="AC134" si="21">AB134+1</f>
        <v>2029</v>
      </c>
      <c r="AD134" s="6">
        <f t="shared" ref="AD134" si="22">AC134+1</f>
        <v>2030</v>
      </c>
      <c r="AE134" s="6">
        <f t="shared" ref="AE134" si="23">AD134+1</f>
        <v>2031</v>
      </c>
      <c r="AF134" s="6">
        <f t="shared" ref="AF134" si="24">AE134+1</f>
        <v>2032</v>
      </c>
      <c r="AG134" s="6">
        <f t="shared" ref="AG134" si="25">AF134+1</f>
        <v>2033</v>
      </c>
      <c r="AH134" s="6">
        <f t="shared" ref="AH134" si="26">AG134+1</f>
        <v>2034</v>
      </c>
      <c r="AI134" s="6">
        <f t="shared" ref="AI134" si="27">AH134+1</f>
        <v>2035</v>
      </c>
      <c r="AJ134" s="6">
        <f t="shared" ref="AJ134" si="28">AI134+1</f>
        <v>2036</v>
      </c>
      <c r="AK134" s="6">
        <f t="shared" ref="AK134" si="29">AJ134+1</f>
        <v>2037</v>
      </c>
      <c r="AL134" s="6">
        <f t="shared" ref="AL134" si="30">AK134+1</f>
        <v>2038</v>
      </c>
      <c r="AM134" s="6">
        <f t="shared" ref="AM134" si="31">AL134+1</f>
        <v>2039</v>
      </c>
      <c r="AN134" s="6">
        <f t="shared" ref="AN134" si="32">AM134+1</f>
        <v>2040</v>
      </c>
      <c r="AO134" s="6">
        <f t="shared" ref="AO134" si="33">AN134+1</f>
        <v>2041</v>
      </c>
      <c r="AP134" s="6">
        <f t="shared" ref="AP134" si="34">AO134+1</f>
        <v>2042</v>
      </c>
      <c r="AQ134" s="6">
        <f t="shared" ref="AQ134" si="35">AP134+1</f>
        <v>2043</v>
      </c>
      <c r="AR134" s="6">
        <f t="shared" ref="AR134" si="36">AQ134+1</f>
        <v>2044</v>
      </c>
      <c r="AS134" s="6">
        <f t="shared" ref="AS134" si="37">AR134+1</f>
        <v>2045</v>
      </c>
      <c r="AT134" s="6">
        <f t="shared" ref="AT134" si="38">AS134+1</f>
        <v>2046</v>
      </c>
      <c r="AU134" s="6">
        <f t="shared" ref="AU134" si="39">AT134+1</f>
        <v>2047</v>
      </c>
      <c r="AV134" s="6">
        <f t="shared" ref="AV134" si="40">AU134+1</f>
        <v>2048</v>
      </c>
      <c r="AW134" s="6">
        <f t="shared" ref="AW134" si="41">AV134+1</f>
        <v>2049</v>
      </c>
      <c r="AX134" s="6">
        <f t="shared" ref="AX134" si="42">AW134+1</f>
        <v>2050</v>
      </c>
      <c r="AY134" s="6">
        <f t="shared" ref="AY134" si="43">AX134+1</f>
        <v>2051</v>
      </c>
      <c r="AZ134" s="6">
        <f t="shared" ref="AZ134" si="44">AY134+1</f>
        <v>2052</v>
      </c>
      <c r="BA134" s="6">
        <f t="shared" ref="BA134" si="45">AZ134+1</f>
        <v>2053</v>
      </c>
      <c r="BB134" s="6">
        <f t="shared" ref="BB134" si="46">BA134+1</f>
        <v>2054</v>
      </c>
      <c r="BC134" s="6">
        <f t="shared" ref="BC134" si="47">BB134+1</f>
        <v>2055</v>
      </c>
      <c r="BD134" s="6">
        <f t="shared" ref="BD134" si="48">BC134+1</f>
        <v>2056</v>
      </c>
      <c r="BE134" s="6">
        <f t="shared" ref="BE134" si="49">BD134+1</f>
        <v>2057</v>
      </c>
      <c r="BF134" s="6">
        <f t="shared" ref="BF134" si="50">BE134+1</f>
        <v>2058</v>
      </c>
      <c r="BG134" s="6">
        <f t="shared" ref="BG134" si="51">BF134+1</f>
        <v>2059</v>
      </c>
      <c r="BH134" s="6">
        <f t="shared" ref="BH134" si="52">BG134+1</f>
        <v>2060</v>
      </c>
      <c r="BI134" s="6">
        <f t="shared" ref="BI134" si="53">BH134+1</f>
        <v>2061</v>
      </c>
    </row>
    <row r="135" spans="1:61">
      <c r="A135" s="873"/>
      <c r="B135" s="664" t="s">
        <v>510</v>
      </c>
      <c r="C135" s="659"/>
      <c r="D135" s="659"/>
      <c r="E135" s="659"/>
      <c r="F135" s="659"/>
      <c r="G135" s="659"/>
      <c r="H135" s="659"/>
      <c r="I135" s="659"/>
      <c r="J135" s="659"/>
      <c r="K135" s="659"/>
      <c r="L135" s="659"/>
      <c r="M135" s="659"/>
      <c r="N135" s="659"/>
      <c r="O135" s="659"/>
      <c r="P135" s="665"/>
      <c r="Q135" s="661">
        <f>DATE(2016,12,31)</f>
        <v>42735</v>
      </c>
      <c r="R135" s="661">
        <f>DATE(YEAR(Q135+1),12,31)</f>
        <v>43100</v>
      </c>
      <c r="S135" s="661">
        <f t="shared" ref="S135" si="54">DATE(YEAR(R135+1),12,31)</f>
        <v>43465</v>
      </c>
      <c r="T135" s="661">
        <f>DATE(YEAR(S135+1),12,31)</f>
        <v>43830</v>
      </c>
      <c r="U135" s="661">
        <f t="shared" ref="U135:BI135" si="55">DATE(YEAR(T135+1),12,31)</f>
        <v>44196</v>
      </c>
      <c r="V135" s="661">
        <f t="shared" si="55"/>
        <v>44561</v>
      </c>
      <c r="W135" s="661">
        <f t="shared" si="55"/>
        <v>44926</v>
      </c>
      <c r="X135" s="661">
        <f t="shared" si="55"/>
        <v>45291</v>
      </c>
      <c r="Y135" s="661">
        <f t="shared" si="55"/>
        <v>45657</v>
      </c>
      <c r="Z135" s="661">
        <f t="shared" si="55"/>
        <v>46022</v>
      </c>
      <c r="AA135" s="661">
        <f t="shared" si="55"/>
        <v>46387</v>
      </c>
      <c r="AB135" s="661">
        <f t="shared" si="55"/>
        <v>46752</v>
      </c>
      <c r="AC135" s="661">
        <f t="shared" si="55"/>
        <v>47118</v>
      </c>
      <c r="AD135" s="661">
        <f t="shared" si="55"/>
        <v>47483</v>
      </c>
      <c r="AE135" s="661">
        <f t="shared" si="55"/>
        <v>47848</v>
      </c>
      <c r="AF135" s="661">
        <f t="shared" si="55"/>
        <v>48213</v>
      </c>
      <c r="AG135" s="661">
        <f t="shared" si="55"/>
        <v>48579</v>
      </c>
      <c r="AH135" s="661">
        <f t="shared" si="55"/>
        <v>48944</v>
      </c>
      <c r="AI135" s="661">
        <f t="shared" si="55"/>
        <v>49309</v>
      </c>
      <c r="AJ135" s="661">
        <f t="shared" si="55"/>
        <v>49674</v>
      </c>
      <c r="AK135" s="661">
        <f t="shared" si="55"/>
        <v>50040</v>
      </c>
      <c r="AL135" s="661">
        <f t="shared" si="55"/>
        <v>50405</v>
      </c>
      <c r="AM135" s="661">
        <f t="shared" si="55"/>
        <v>50770</v>
      </c>
      <c r="AN135" s="661">
        <f t="shared" si="55"/>
        <v>51135</v>
      </c>
      <c r="AO135" s="661">
        <f t="shared" si="55"/>
        <v>51501</v>
      </c>
      <c r="AP135" s="661">
        <f t="shared" si="55"/>
        <v>51866</v>
      </c>
      <c r="AQ135" s="661">
        <f t="shared" si="55"/>
        <v>52231</v>
      </c>
      <c r="AR135" s="661">
        <f t="shared" si="55"/>
        <v>52596</v>
      </c>
      <c r="AS135" s="661">
        <f t="shared" si="55"/>
        <v>52962</v>
      </c>
      <c r="AT135" s="661">
        <f t="shared" si="55"/>
        <v>53327</v>
      </c>
      <c r="AU135" s="661">
        <f t="shared" si="55"/>
        <v>53692</v>
      </c>
      <c r="AV135" s="661">
        <f t="shared" si="55"/>
        <v>54057</v>
      </c>
      <c r="AW135" s="661">
        <f t="shared" si="55"/>
        <v>54423</v>
      </c>
      <c r="AX135" s="661">
        <f t="shared" si="55"/>
        <v>54788</v>
      </c>
      <c r="AY135" s="661">
        <f t="shared" si="55"/>
        <v>55153</v>
      </c>
      <c r="AZ135" s="661">
        <f t="shared" si="55"/>
        <v>55518</v>
      </c>
      <c r="BA135" s="661">
        <f t="shared" si="55"/>
        <v>55884</v>
      </c>
      <c r="BB135" s="661">
        <f t="shared" si="55"/>
        <v>56249</v>
      </c>
      <c r="BC135" s="661">
        <f t="shared" si="55"/>
        <v>56614</v>
      </c>
      <c r="BD135" s="661">
        <f t="shared" si="55"/>
        <v>56979</v>
      </c>
      <c r="BE135" s="661">
        <f t="shared" si="55"/>
        <v>57345</v>
      </c>
      <c r="BF135" s="661">
        <f t="shared" si="55"/>
        <v>57710</v>
      </c>
      <c r="BG135" s="661">
        <f t="shared" si="55"/>
        <v>58075</v>
      </c>
      <c r="BH135" s="661">
        <f t="shared" si="55"/>
        <v>58440</v>
      </c>
      <c r="BI135" s="661">
        <f t="shared" si="55"/>
        <v>58806</v>
      </c>
    </row>
    <row r="136" spans="1:61" ht="45">
      <c r="A136" s="333" t="s">
        <v>494</v>
      </c>
      <c r="B136" s="334"/>
      <c r="C136" s="334"/>
      <c r="D136" s="334"/>
      <c r="E136" s="334"/>
      <c r="F136" s="334"/>
      <c r="G136" s="334"/>
      <c r="H136" s="334"/>
      <c r="I136" s="334"/>
      <c r="J136" s="334"/>
      <c r="K136" s="334"/>
      <c r="L136" s="334"/>
      <c r="M136" s="334"/>
      <c r="N136" s="334"/>
      <c r="O136" s="334"/>
      <c r="P136" s="334"/>
      <c r="Q136" s="334"/>
      <c r="R136" s="334"/>
      <c r="S136" s="334"/>
      <c r="T136" s="335">
        <f>T$123*'VOC eksploatacja samochody'!U$50+(0)*'VOC eksploatacja samochody'!U$53</f>
        <v>3.523194655632296E-2</v>
      </c>
      <c r="U136" s="335">
        <f>U$123*'VOC eksploatacja samochody'!V$50+(0)*'VOC eksploatacja samochody'!V$53</f>
        <v>3.5586485611935996E-2</v>
      </c>
      <c r="V136" s="335">
        <f>V$123*'VOC eksploatacja samochody'!W$50+(0)*'VOC eksploatacja samochody'!W$53</f>
        <v>3.9191859543564529E-2</v>
      </c>
      <c r="W136" s="335">
        <f>W$123*'VOC eksploatacja samochody'!X$50+(0)*'VOC eksploatacja samochody'!X$53</f>
        <v>4.6512196067237638E-2</v>
      </c>
      <c r="X136" s="335">
        <f>X$123*'VOC eksploatacja samochody'!Y$50+(0)*'VOC eksploatacja samochody'!Y$53</f>
        <v>5.1519030677913143E-2</v>
      </c>
      <c r="Y136" s="335">
        <f>Y$123*'VOC eksploatacja samochody'!Z$50+(0)*'VOC eksploatacja samochody'!Z$53</f>
        <v>5.2541998734444824E-2</v>
      </c>
      <c r="Z136" s="335">
        <f>Z$123*'VOC eksploatacja samochody'!AA$50+(0)*'VOC eksploatacja samochody'!AA$53</f>
        <v>5.3835206230673407E-2</v>
      </c>
      <c r="AA136" s="335">
        <f>AA$123*'VOC eksploatacja samochody'!AB$50+(0)*'VOC eksploatacja samochody'!AB$53</f>
        <v>5.5033185850722519E-2</v>
      </c>
      <c r="AB136" s="335">
        <f>AB$123*'VOC eksploatacja samochody'!AC$50+(0)*'VOC eksploatacja samochody'!AC$53</f>
        <v>5.5971452071047666E-2</v>
      </c>
      <c r="AC136" s="335">
        <f>AC$123*'VOC eksploatacja samochody'!AD$50+(0)*'VOC eksploatacja samochody'!AD$53</f>
        <v>5.6927273148148501E-2</v>
      </c>
      <c r="AD136" s="335">
        <f>AD$123*'VOC eksploatacja samochody'!AE$50+(0)*'VOC eksploatacja samochody'!AE$53</f>
        <v>5.7859177855747748E-2</v>
      </c>
      <c r="AE136" s="335">
        <f>AE$123*'VOC eksploatacja samochody'!AF$50+(0)*'VOC eksploatacja samochody'!AF$53</f>
        <v>5.840739495652273E-2</v>
      </c>
      <c r="AF136" s="335">
        <f>AF$123*'VOC eksploatacja samochody'!AG$50+(0)*'VOC eksploatacja samochody'!AG$53</f>
        <v>5.8836816464498926E-2</v>
      </c>
      <c r="AG136" s="335">
        <f>AG$123*'VOC eksploatacja samochody'!AH$50+(0)*'VOC eksploatacja samochody'!AH$53</f>
        <v>5.918352931291046E-2</v>
      </c>
      <c r="AH136" s="335">
        <f>AH$123*'VOC eksploatacja samochody'!AI$50+(0)*'VOC eksploatacja samochody'!AI$53</f>
        <v>5.9536635388521976E-2</v>
      </c>
      <c r="AI136" s="335">
        <f>AI$123*'VOC eksploatacja samochody'!AJ$50+(0)*'VOC eksploatacja samochody'!AJ$53</f>
        <v>5.9889044002884639E-2</v>
      </c>
      <c r="AJ136" s="335">
        <f>AJ$123*'VOC eksploatacja samochody'!AK$50+(0)*'VOC eksploatacja samochody'!AK$53</f>
        <v>6.0145140181404814E-2</v>
      </c>
      <c r="AK136" s="335">
        <f>AK$123*'VOC eksploatacja samochody'!AL$50+(0)*'VOC eksploatacja samochody'!AL$53</f>
        <v>6.034954703384128E-2</v>
      </c>
      <c r="AL136" s="335">
        <f>AL$123*'VOC eksploatacja samochody'!AM$50+(0)*'VOC eksploatacja samochody'!AM$53</f>
        <v>6.0497351442489175E-2</v>
      </c>
      <c r="AM136" s="335">
        <f>AM$123*'VOC eksploatacja samochody'!AN$50+(0)*'VOC eksploatacja samochody'!AN$53</f>
        <v>6.0590021660741761E-2</v>
      </c>
      <c r="AN136" s="335">
        <f>AN$123*'VOC eksploatacja samochody'!AO$50+(0)*'VOC eksploatacja samochody'!AO$53</f>
        <v>6.0577647889299008E-2</v>
      </c>
      <c r="AO136" s="335">
        <f>AO$123*'VOC eksploatacja samochody'!AP$50+(0)*'VOC eksploatacja samochody'!AP$53</f>
        <v>6.0458690524761043E-2</v>
      </c>
      <c r="AP136" s="335">
        <f>AP$123*'VOC eksploatacja samochody'!AQ$50+(0)*'VOC eksploatacja samochody'!AQ$53</f>
        <v>6.0280559791411115E-2</v>
      </c>
      <c r="AQ136" s="335">
        <f>AQ$123*'VOC eksploatacja samochody'!AR$50+(0)*'VOC eksploatacja samochody'!AR$53</f>
        <v>5.9995055978762597E-2</v>
      </c>
      <c r="AR136" s="335">
        <f>AR$123*'VOC eksploatacja samochody'!AS$50+(0)*'VOC eksploatacja samochody'!AS$53</f>
        <v>5.9647293516681195E-2</v>
      </c>
      <c r="AS136" s="335">
        <f>AS$123*'VOC eksploatacja samochody'!AT$50+(0)*'VOC eksploatacja samochody'!AT$53</f>
        <v>5.928785160113724E-2</v>
      </c>
      <c r="AT136" s="335">
        <f>AT$123*'VOC eksploatacja samochody'!AU$50+(0)*'VOC eksploatacja samochody'!AU$53</f>
        <v>5.8919827822686802E-2</v>
      </c>
      <c r="AU136" s="335">
        <f>AU$123*'VOC eksploatacja samochody'!AV$50+(0)*'VOC eksploatacja samochody'!AV$53</f>
        <v>5.8539087798323924E-2</v>
      </c>
      <c r="AV136" s="335">
        <f>AV$123*'VOC eksploatacja samochody'!AW$50+(0)*'VOC eksploatacja samochody'!AW$53</f>
        <v>5.8145183823985785E-2</v>
      </c>
      <c r="AW136" s="335">
        <f>AW$123*'VOC eksploatacja samochody'!AX$50+(0)*'VOC eksploatacja samochody'!AX$53</f>
        <v>5.773832280729118E-2</v>
      </c>
      <c r="AX136" s="335">
        <f>AX$123*'VOC eksploatacja samochody'!AY$50+(0)*'VOC eksploatacja samochody'!AY$53</f>
        <v>5.7269890371006653E-2</v>
      </c>
      <c r="AY136" s="335">
        <f>AY$123*'VOC eksploatacja samochody'!AZ$50+(0)*'VOC eksploatacja samochody'!AZ$53</f>
        <v>5.7883602872895241E-2</v>
      </c>
      <c r="AZ136" s="335">
        <f>AZ$123*'VOC eksploatacja samochody'!BA$50+(0)*'VOC eksploatacja samochody'!BA$53</f>
        <v>5.8508575995969175E-2</v>
      </c>
      <c r="BA136" s="335">
        <f>BA$123*'VOC eksploatacja samochody'!BB$50+(0)*'VOC eksploatacja samochody'!BB$53</f>
        <v>5.9149366635979472E-2</v>
      </c>
      <c r="BB136" s="335">
        <f>BB$123*'VOC eksploatacja samochody'!BC$50+(0)*'VOC eksploatacja samochody'!BC$53</f>
        <v>5.9850324427416758E-2</v>
      </c>
      <c r="BC136" s="335">
        <f>BC$123*'VOC eksploatacja samochody'!BD$50+(0)*'VOC eksploatacja samochody'!BD$53</f>
        <v>6.0565720238701978E-2</v>
      </c>
      <c r="BD136" s="335">
        <f>BD$123*'VOC eksploatacja samochody'!BE$50+(0)*'VOC eksploatacja samochody'!BE$53</f>
        <v>6.1296550914965504E-2</v>
      </c>
      <c r="BE136" s="335">
        <f>BE$123*'VOC eksploatacja samochody'!BF$50+(0)*'VOC eksploatacja samochody'!BF$53</f>
        <v>6.2043089416928647E-2</v>
      </c>
      <c r="BF136" s="335">
        <f>BF$123*'VOC eksploatacja samochody'!BG$50+(0)*'VOC eksploatacja samochody'!BG$53</f>
        <v>6.2855737678112936E-2</v>
      </c>
      <c r="BG136" s="335">
        <f>BG$123*'VOC eksploatacja samochody'!BH$50+(0)*'VOC eksploatacja samochody'!BH$53</f>
        <v>6.3690576638682911E-2</v>
      </c>
      <c r="BH136" s="335">
        <f>BH$123*'VOC eksploatacja samochody'!BI$50+(0)*'VOC eksploatacja samochody'!BI$53</f>
        <v>6.454399706954192E-2</v>
      </c>
      <c r="BI136" s="335">
        <f>BI$123*'VOC eksploatacja samochody'!BJ$50+(0)*'VOC eksploatacja samochody'!BJ$53</f>
        <v>6.5464667829318354E-2</v>
      </c>
    </row>
    <row r="137" spans="1:61" ht="45">
      <c r="A137" s="333" t="s">
        <v>495</v>
      </c>
      <c r="B137" s="334"/>
      <c r="C137" s="334"/>
      <c r="D137" s="334"/>
      <c r="E137" s="334"/>
      <c r="F137" s="334"/>
      <c r="G137" s="334"/>
      <c r="H137" s="334"/>
      <c r="I137" s="334"/>
      <c r="J137" s="334"/>
      <c r="K137" s="334"/>
      <c r="L137" s="334"/>
      <c r="M137" s="334"/>
      <c r="N137" s="334"/>
      <c r="O137" s="334"/>
      <c r="P137" s="334"/>
      <c r="Q137" s="334"/>
      <c r="R137" s="334"/>
      <c r="S137" s="334"/>
      <c r="T137" s="335">
        <f>(T$103*$R$116)*'VOC eksploatacja samochody'!U$57+(0)*'VOC eksploatacja samochody'!U$58</f>
        <v>0.28179482297620234</v>
      </c>
      <c r="U137" s="335">
        <f>(U$103*$R$116)*'VOC eksploatacja samochody'!V$57+(0)*'VOC eksploatacja samochody'!V$58</f>
        <v>0.28667784804604363</v>
      </c>
      <c r="V137" s="335">
        <f>(V$103*$R$116)*'VOC eksploatacja samochody'!W$57+(0)*'VOC eksploatacja samochody'!W$58</f>
        <v>0.31800945928328478</v>
      </c>
      <c r="W137" s="335">
        <f>(W$103*$R$116)*'VOC eksploatacja samochody'!X$57+(0)*'VOC eksploatacja samochody'!X$58</f>
        <v>0.38016221018643448</v>
      </c>
      <c r="X137" s="335">
        <f>(X$103*$R$116)*'VOC eksploatacja samochody'!Y$57+(0)*'VOC eksploatacja samochody'!Y$58</f>
        <v>0.42418064016817436</v>
      </c>
      <c r="Y137" s="335">
        <f>(Y$103*$R$116)*'VOC eksploatacja samochody'!Z$57+(0)*'VOC eksploatacja samochody'!Z$58</f>
        <v>0.43580708165991916</v>
      </c>
      <c r="Z137" s="335">
        <f>(Z$103*$R$116)*'VOC eksploatacja samochody'!AA$57+(0)*'VOC eksploatacja samochody'!AA$58</f>
        <v>0.4498652312892627</v>
      </c>
      <c r="AA137" s="335">
        <f>(AA$103*$R$116)*'VOC eksploatacja samochody'!AB$57+(0)*'VOC eksploatacja samochody'!AB$58</f>
        <v>0.46333300252736076</v>
      </c>
      <c r="AB137" s="335">
        <f>(AB$103*$R$116)*'VOC eksploatacja samochody'!AC$57+(0)*'VOC eksploatacja samochody'!AC$58</f>
        <v>0.47480166183618999</v>
      </c>
      <c r="AC137" s="335">
        <f>(AC$103*$R$116)*'VOC eksploatacja samochody'!AD$57+(0)*'VOC eksploatacja samochody'!AD$58</f>
        <v>0.48659543400371857</v>
      </c>
      <c r="AD137" s="335">
        <f>(AD$103*$R$116)*'VOC eksploatacja samochody'!AE$57+(0)*'VOC eksploatacja samochody'!AE$58</f>
        <v>0.4983646116299017</v>
      </c>
      <c r="AE137" s="335">
        <f>(AE$103*$R$116)*'VOC eksploatacja samochody'!AF$57+(0)*'VOC eksploatacja samochody'!AF$58</f>
        <v>0.51008508417573717</v>
      </c>
      <c r="AF137" s="335">
        <f>(AF$103*$R$116)*'VOC eksploatacja samochody'!AG$57+(0)*'VOC eksploatacja samochody'!AG$58</f>
        <v>0.52108413991160729</v>
      </c>
      <c r="AG137" s="335">
        <f>(AG$103*$R$116)*'VOC eksploatacja samochody'!AH$57+(0)*'VOC eksploatacja samochody'!AH$58</f>
        <v>0.53165498488032581</v>
      </c>
      <c r="AH137" s="335">
        <f>(AH$103*$R$116)*'VOC eksploatacja samochody'!AI$57+(0)*'VOC eksploatacja samochody'!AI$58</f>
        <v>0.54259100609355648</v>
      </c>
      <c r="AI137" s="335">
        <f>(AI$103*$R$116)*'VOC eksploatacja samochody'!AJ$57+(0)*'VOC eksploatacja samochody'!AJ$58</f>
        <v>0.55384276809964172</v>
      </c>
      <c r="AJ137" s="335">
        <f>(AJ$103*$R$116)*'VOC eksploatacja samochody'!AK$57+(0)*'VOC eksploatacja samochody'!AK$58</f>
        <v>0.5645269831551637</v>
      </c>
      <c r="AK137" s="335">
        <f>(AK$103*$R$116)*'VOC eksploatacja samochody'!AL$57+(0)*'VOC eksploatacja samochody'!AL$58</f>
        <v>0.57504300182365042</v>
      </c>
      <c r="AL137" s="335">
        <f>(AL$103*$R$116)*'VOC eksploatacja samochody'!AM$57+(0)*'VOC eksploatacja samochody'!AM$58</f>
        <v>0.58533551114789362</v>
      </c>
      <c r="AM137" s="335">
        <f>(AM$103*$R$116)*'VOC eksploatacja samochody'!AN$57+(0)*'VOC eksploatacja samochody'!AN$58</f>
        <v>0.59540844362038148</v>
      </c>
      <c r="AN137" s="335">
        <f>(AN$103*$R$116)*'VOC eksploatacja samochody'!AO$57+(0)*'VOC eksploatacja samochody'!AO$58</f>
        <v>0.60475306933380224</v>
      </c>
      <c r="AO137" s="335">
        <f>(AO$103*$R$116)*'VOC eksploatacja samochody'!AP$57+(0)*'VOC eksploatacja samochody'!AP$58</f>
        <v>0.61331846397911594</v>
      </c>
      <c r="AP137" s="335">
        <f>(AP$103*$R$116)*'VOC eksploatacja samochody'!AQ$57+(0)*'VOC eksploatacja samochody'!AQ$58</f>
        <v>0.62155508114504476</v>
      </c>
      <c r="AQ137" s="335">
        <f>(AQ$103*$R$116)*'VOC eksploatacja samochody'!AR$57+(0)*'VOC eksploatacja samochody'!AR$58</f>
        <v>0.62894116249088172</v>
      </c>
      <c r="AR137" s="335">
        <f>(AR$103*$R$116)*'VOC eksploatacja samochody'!AS$57+(0)*'VOC eksploatacja samochody'!AS$58</f>
        <v>0.63591435219439163</v>
      </c>
      <c r="AS137" s="335">
        <f>(AS$103*$R$116)*'VOC eksploatacja samochody'!AT$57+(0)*'VOC eksploatacja samochody'!AT$58</f>
        <v>0.64300180425515552</v>
      </c>
      <c r="AT137" s="335">
        <f>(AT$103*$R$116)*'VOC eksploatacja samochody'!AU$57+(0)*'VOC eksploatacja samochody'!AU$58</f>
        <v>0.65024372984580436</v>
      </c>
      <c r="AU137" s="335">
        <f>(AU$103*$R$116)*'VOC eksploatacja samochody'!AV$57+(0)*'VOC eksploatacja samochody'!AV$58</f>
        <v>0.65760197749443328</v>
      </c>
      <c r="AV137" s="335">
        <f>(AV$103*$R$116)*'VOC eksploatacja samochody'!AW$57+(0)*'VOC eksploatacja samochody'!AW$58</f>
        <v>0.6650777843508594</v>
      </c>
      <c r="AW137" s="335">
        <f>(AW$103*$R$116)*'VOC eksploatacja samochody'!AX$57+(0)*'VOC eksploatacja samochody'!AX$58</f>
        <v>0.67268010595142258</v>
      </c>
      <c r="AX137" s="335">
        <f>(AX$103*$R$116)*'VOC eksploatacja samochody'!AY$57+(0)*'VOC eksploatacja samochody'!AY$58</f>
        <v>0.67983902780844974</v>
      </c>
      <c r="AY137" s="335">
        <f>(AY$103*$R$116)*'VOC eksploatacja samochody'!AZ$57+(0)*'VOC eksploatacja samochody'!AZ$58</f>
        <v>0.68712428203078113</v>
      </c>
      <c r="AZ137" s="335">
        <f>(AZ$103*$R$116)*'VOC eksploatacja samochody'!BA$57+(0)*'VOC eksploatacja samochody'!BA$58</f>
        <v>0.69454320875902387</v>
      </c>
      <c r="BA137" s="335">
        <f>(BA$103*$R$116)*'VOC eksploatacja samochody'!BB$57+(0)*'VOC eksploatacja samochody'!BB$58</f>
        <v>0.70214990196048144</v>
      </c>
      <c r="BB137" s="335">
        <f>(BB$103*$R$116)*'VOC eksploatacja samochody'!BC$57+(0)*'VOC eksploatacja samochody'!BC$58</f>
        <v>0.71047082697672226</v>
      </c>
      <c r="BC137" s="335">
        <f>(BC$103*$R$116)*'VOC eksploatacja samochody'!BD$57+(0)*'VOC eksploatacja samochody'!BD$58</f>
        <v>0.71896314274145789</v>
      </c>
      <c r="BD137" s="335">
        <f>(BD$103*$R$116)*'VOC eksploatacja samochody'!BE$57+(0)*'VOC eksploatacja samochody'!BE$58</f>
        <v>0.72763868259712916</v>
      </c>
      <c r="BE137" s="335">
        <f>(BE$103*$R$116)*'VOC eksploatacja samochody'!BF$57+(0)*'VOC eksploatacja samochody'!BF$58</f>
        <v>0.73650068680402281</v>
      </c>
      <c r="BF137" s="335">
        <f>(BF$103*$R$116)*'VOC eksploatacja samochody'!BG$57+(0)*'VOC eksploatacja samochody'!BG$58</f>
        <v>0.74614746629416551</v>
      </c>
      <c r="BG137" s="335">
        <f>(BG$103*$R$116)*'VOC eksploatacja samochody'!BH$57+(0)*'VOC eksploatacja samochody'!BH$58</f>
        <v>0.75605766698869725</v>
      </c>
      <c r="BH137" s="335">
        <f>(BH$103*$R$116)*'VOC eksploatacja samochody'!BI$57+(0)*'VOC eksploatacja samochody'!BI$58</f>
        <v>0.76618844447523471</v>
      </c>
      <c r="BI137" s="335">
        <f>(BI$103*$R$116)*'VOC eksploatacja samochody'!BJ$57+(0)*'VOC eksploatacja samochody'!BJ$58</f>
        <v>0.77711753671206818</v>
      </c>
    </row>
    <row r="138" spans="1:61"/>
    <row r="139" spans="1:61"/>
    <row r="140" spans="1:61">
      <c r="A140" s="759" t="s">
        <v>924</v>
      </c>
      <c r="B140" s="759"/>
      <c r="C140" s="759"/>
      <c r="D140" s="759"/>
      <c r="E140" s="759"/>
      <c r="F140" s="759"/>
      <c r="G140" s="759"/>
      <c r="H140" s="759"/>
      <c r="I140" s="759"/>
      <c r="J140" s="759"/>
      <c r="K140" s="759"/>
      <c r="L140" s="759"/>
      <c r="M140" s="759"/>
      <c r="N140" s="759"/>
      <c r="O140" s="759"/>
      <c r="P140" s="759"/>
      <c r="Q140" s="759"/>
      <c r="R140" s="759"/>
      <c r="S140" s="759"/>
      <c r="T140" s="759"/>
      <c r="U140" s="759"/>
      <c r="V140" s="759"/>
    </row>
    <row r="141" spans="1:61">
      <c r="A141" s="759"/>
      <c r="B141" s="759"/>
      <c r="C141" s="759"/>
      <c r="D141" s="759"/>
      <c r="E141" s="759"/>
      <c r="F141" s="759"/>
      <c r="G141" s="759"/>
      <c r="H141" s="759"/>
      <c r="I141" s="759"/>
      <c r="J141" s="759"/>
      <c r="K141" s="759"/>
      <c r="L141" s="759"/>
      <c r="M141" s="759"/>
      <c r="N141" s="759"/>
      <c r="O141" s="759"/>
      <c r="P141" s="759"/>
      <c r="Q141" s="759"/>
      <c r="R141" s="759"/>
      <c r="S141" s="759"/>
      <c r="T141" s="759"/>
      <c r="U141" s="759"/>
      <c r="V141" s="759"/>
    </row>
    <row r="142" spans="1:61">
      <c r="A142" s="872"/>
      <c r="B142" s="663" t="s">
        <v>309</v>
      </c>
      <c r="C142" s="733"/>
      <c r="D142" s="733"/>
      <c r="E142" s="733"/>
      <c r="F142" s="733"/>
      <c r="G142" s="733"/>
      <c r="H142" s="733"/>
      <c r="I142" s="733"/>
      <c r="J142" s="733"/>
      <c r="K142" s="733"/>
      <c r="L142" s="733"/>
      <c r="M142" s="733"/>
      <c r="N142" s="733"/>
      <c r="O142" s="733"/>
      <c r="P142" s="735"/>
      <c r="Q142" s="6"/>
      <c r="R142" s="6"/>
      <c r="S142" s="6"/>
      <c r="T142" s="6">
        <v>2020</v>
      </c>
      <c r="U142" s="6">
        <f>T142+1</f>
        <v>2021</v>
      </c>
      <c r="V142" s="6">
        <f t="shared" ref="V142:BI142" si="56">U142+1</f>
        <v>2022</v>
      </c>
      <c r="W142" s="6">
        <f t="shared" si="56"/>
        <v>2023</v>
      </c>
      <c r="X142" s="6">
        <f t="shared" si="56"/>
        <v>2024</v>
      </c>
      <c r="Y142" s="6">
        <f t="shared" si="56"/>
        <v>2025</v>
      </c>
      <c r="Z142" s="6">
        <f t="shared" si="56"/>
        <v>2026</v>
      </c>
      <c r="AA142" s="6">
        <f t="shared" si="56"/>
        <v>2027</v>
      </c>
      <c r="AB142" s="6">
        <f t="shared" si="56"/>
        <v>2028</v>
      </c>
      <c r="AC142" s="6">
        <f t="shared" si="56"/>
        <v>2029</v>
      </c>
      <c r="AD142" s="6">
        <f t="shared" si="56"/>
        <v>2030</v>
      </c>
      <c r="AE142" s="6">
        <f t="shared" si="56"/>
        <v>2031</v>
      </c>
      <c r="AF142" s="6">
        <f t="shared" si="56"/>
        <v>2032</v>
      </c>
      <c r="AG142" s="6">
        <f t="shared" si="56"/>
        <v>2033</v>
      </c>
      <c r="AH142" s="6">
        <f t="shared" si="56"/>
        <v>2034</v>
      </c>
      <c r="AI142" s="6">
        <f t="shared" si="56"/>
        <v>2035</v>
      </c>
      <c r="AJ142" s="6">
        <f t="shared" si="56"/>
        <v>2036</v>
      </c>
      <c r="AK142" s="6">
        <f t="shared" si="56"/>
        <v>2037</v>
      </c>
      <c r="AL142" s="6">
        <f t="shared" si="56"/>
        <v>2038</v>
      </c>
      <c r="AM142" s="6">
        <f t="shared" si="56"/>
        <v>2039</v>
      </c>
      <c r="AN142" s="6">
        <f t="shared" si="56"/>
        <v>2040</v>
      </c>
      <c r="AO142" s="6">
        <f t="shared" si="56"/>
        <v>2041</v>
      </c>
      <c r="AP142" s="6">
        <f t="shared" si="56"/>
        <v>2042</v>
      </c>
      <c r="AQ142" s="6">
        <f t="shared" si="56"/>
        <v>2043</v>
      </c>
      <c r="AR142" s="6">
        <f t="shared" si="56"/>
        <v>2044</v>
      </c>
      <c r="AS142" s="6">
        <f t="shared" si="56"/>
        <v>2045</v>
      </c>
      <c r="AT142" s="6">
        <f t="shared" si="56"/>
        <v>2046</v>
      </c>
      <c r="AU142" s="6">
        <f t="shared" si="56"/>
        <v>2047</v>
      </c>
      <c r="AV142" s="6">
        <f t="shared" si="56"/>
        <v>2048</v>
      </c>
      <c r="AW142" s="6">
        <f t="shared" si="56"/>
        <v>2049</v>
      </c>
      <c r="AX142" s="6">
        <f t="shared" si="56"/>
        <v>2050</v>
      </c>
      <c r="AY142" s="6">
        <f t="shared" si="56"/>
        <v>2051</v>
      </c>
      <c r="AZ142" s="6">
        <f t="shared" si="56"/>
        <v>2052</v>
      </c>
      <c r="BA142" s="6">
        <f t="shared" si="56"/>
        <v>2053</v>
      </c>
      <c r="BB142" s="6">
        <f t="shared" si="56"/>
        <v>2054</v>
      </c>
      <c r="BC142" s="6">
        <f t="shared" si="56"/>
        <v>2055</v>
      </c>
      <c r="BD142" s="6">
        <f t="shared" si="56"/>
        <v>2056</v>
      </c>
      <c r="BE142" s="6">
        <f t="shared" si="56"/>
        <v>2057</v>
      </c>
      <c r="BF142" s="6">
        <f t="shared" si="56"/>
        <v>2058</v>
      </c>
      <c r="BG142" s="6">
        <f t="shared" si="56"/>
        <v>2059</v>
      </c>
      <c r="BH142" s="6">
        <f t="shared" si="56"/>
        <v>2060</v>
      </c>
      <c r="BI142" s="6">
        <f t="shared" si="56"/>
        <v>2061</v>
      </c>
    </row>
    <row r="143" spans="1:61">
      <c r="A143" s="873"/>
      <c r="B143" s="664" t="s">
        <v>510</v>
      </c>
      <c r="C143" s="659"/>
      <c r="D143" s="659"/>
      <c r="E143" s="659"/>
      <c r="F143" s="659"/>
      <c r="G143" s="659"/>
      <c r="H143" s="659"/>
      <c r="I143" s="659"/>
      <c r="J143" s="659"/>
      <c r="K143" s="659"/>
      <c r="L143" s="659"/>
      <c r="M143" s="659"/>
      <c r="N143" s="659"/>
      <c r="O143" s="659"/>
      <c r="P143" s="665"/>
      <c r="Q143" s="661">
        <f>DATE(2016,12,31)</f>
        <v>42735</v>
      </c>
      <c r="R143" s="661">
        <f>DATE(YEAR(Q143+1),12,31)</f>
        <v>43100</v>
      </c>
      <c r="S143" s="661">
        <f t="shared" ref="S143" si="57">DATE(YEAR(R143+1),12,31)</f>
        <v>43465</v>
      </c>
      <c r="T143" s="661">
        <f>DATE(YEAR(S143+1),12,31)</f>
        <v>43830</v>
      </c>
      <c r="U143" s="661">
        <f t="shared" ref="U143:BI143" si="58">DATE(YEAR(T143+1),12,31)</f>
        <v>44196</v>
      </c>
      <c r="V143" s="661">
        <f t="shared" si="58"/>
        <v>44561</v>
      </c>
      <c r="W143" s="661">
        <f t="shared" si="58"/>
        <v>44926</v>
      </c>
      <c r="X143" s="661">
        <f t="shared" si="58"/>
        <v>45291</v>
      </c>
      <c r="Y143" s="661">
        <f t="shared" si="58"/>
        <v>45657</v>
      </c>
      <c r="Z143" s="661">
        <f t="shared" si="58"/>
        <v>46022</v>
      </c>
      <c r="AA143" s="661">
        <f t="shared" si="58"/>
        <v>46387</v>
      </c>
      <c r="AB143" s="661">
        <f t="shared" si="58"/>
        <v>46752</v>
      </c>
      <c r="AC143" s="661">
        <f t="shared" si="58"/>
        <v>47118</v>
      </c>
      <c r="AD143" s="661">
        <f t="shared" si="58"/>
        <v>47483</v>
      </c>
      <c r="AE143" s="661">
        <f t="shared" si="58"/>
        <v>47848</v>
      </c>
      <c r="AF143" s="661">
        <f t="shared" si="58"/>
        <v>48213</v>
      </c>
      <c r="AG143" s="661">
        <f t="shared" si="58"/>
        <v>48579</v>
      </c>
      <c r="AH143" s="661">
        <f t="shared" si="58"/>
        <v>48944</v>
      </c>
      <c r="AI143" s="661">
        <f t="shared" si="58"/>
        <v>49309</v>
      </c>
      <c r="AJ143" s="661">
        <f t="shared" si="58"/>
        <v>49674</v>
      </c>
      <c r="AK143" s="661">
        <f t="shared" si="58"/>
        <v>50040</v>
      </c>
      <c r="AL143" s="661">
        <f t="shared" si="58"/>
        <v>50405</v>
      </c>
      <c r="AM143" s="661">
        <f t="shared" si="58"/>
        <v>50770</v>
      </c>
      <c r="AN143" s="661">
        <f t="shared" si="58"/>
        <v>51135</v>
      </c>
      <c r="AO143" s="661">
        <f t="shared" si="58"/>
        <v>51501</v>
      </c>
      <c r="AP143" s="661">
        <f t="shared" si="58"/>
        <v>51866</v>
      </c>
      <c r="AQ143" s="661">
        <f t="shared" si="58"/>
        <v>52231</v>
      </c>
      <c r="AR143" s="661">
        <f t="shared" si="58"/>
        <v>52596</v>
      </c>
      <c r="AS143" s="661">
        <f t="shared" si="58"/>
        <v>52962</v>
      </c>
      <c r="AT143" s="661">
        <f t="shared" si="58"/>
        <v>53327</v>
      </c>
      <c r="AU143" s="661">
        <f t="shared" si="58"/>
        <v>53692</v>
      </c>
      <c r="AV143" s="661">
        <f t="shared" si="58"/>
        <v>54057</v>
      </c>
      <c r="AW143" s="661">
        <f t="shared" si="58"/>
        <v>54423</v>
      </c>
      <c r="AX143" s="661">
        <f t="shared" si="58"/>
        <v>54788</v>
      </c>
      <c r="AY143" s="661">
        <f t="shared" si="58"/>
        <v>55153</v>
      </c>
      <c r="AZ143" s="661">
        <f t="shared" si="58"/>
        <v>55518</v>
      </c>
      <c r="BA143" s="661">
        <f t="shared" si="58"/>
        <v>55884</v>
      </c>
      <c r="BB143" s="661">
        <f t="shared" si="58"/>
        <v>56249</v>
      </c>
      <c r="BC143" s="661">
        <f t="shared" si="58"/>
        <v>56614</v>
      </c>
      <c r="BD143" s="661">
        <f t="shared" si="58"/>
        <v>56979</v>
      </c>
      <c r="BE143" s="661">
        <f t="shared" si="58"/>
        <v>57345</v>
      </c>
      <c r="BF143" s="661">
        <f t="shared" si="58"/>
        <v>57710</v>
      </c>
      <c r="BG143" s="661">
        <f t="shared" si="58"/>
        <v>58075</v>
      </c>
      <c r="BH143" s="661">
        <f t="shared" si="58"/>
        <v>58440</v>
      </c>
      <c r="BI143" s="661">
        <f t="shared" si="58"/>
        <v>58806</v>
      </c>
    </row>
    <row r="144" spans="1:61" ht="45">
      <c r="A144" s="318" t="s">
        <v>893</v>
      </c>
      <c r="B144" s="334"/>
      <c r="C144" s="334"/>
      <c r="D144" s="334"/>
      <c r="E144" s="334"/>
      <c r="F144" s="334"/>
      <c r="G144" s="334"/>
      <c r="H144" s="334"/>
      <c r="I144" s="334"/>
      <c r="J144" s="334"/>
      <c r="K144" s="334"/>
      <c r="L144" s="334"/>
      <c r="M144" s="334"/>
      <c r="N144" s="334"/>
      <c r="O144" s="334"/>
      <c r="P144" s="334"/>
      <c r="Q144" s="334"/>
      <c r="R144" s="334"/>
      <c r="S144" s="334"/>
      <c r="T144" s="335">
        <f>T$107*$S$117</f>
        <v>0.1738480583399491</v>
      </c>
      <c r="U144" s="335">
        <f t="shared" ref="U144:BI144" si="59">U$107*$S$117</f>
        <v>0.17686054954987063</v>
      </c>
      <c r="V144" s="335">
        <f t="shared" si="59"/>
        <v>0.19619000252110744</v>
      </c>
      <c r="W144" s="335">
        <f t="shared" si="59"/>
        <v>0.23453398255196695</v>
      </c>
      <c r="X144" s="335">
        <f t="shared" si="59"/>
        <v>0.26169033163842531</v>
      </c>
      <c r="Y144" s="335">
        <f t="shared" si="59"/>
        <v>0.26886304779195647</v>
      </c>
      <c r="Z144" s="335">
        <f t="shared" si="59"/>
        <v>0.27753596091044991</v>
      </c>
      <c r="AA144" s="335">
        <f t="shared" si="59"/>
        <v>0.28584465109567625</v>
      </c>
      <c r="AB144" s="335">
        <f t="shared" si="59"/>
        <v>0.29292002647533932</v>
      </c>
      <c r="AC144" s="335">
        <f t="shared" si="59"/>
        <v>0.30019597416725891</v>
      </c>
      <c r="AD144" s="335">
        <f t="shared" si="59"/>
        <v>0.30745674871577749</v>
      </c>
      <c r="AE144" s="335">
        <f t="shared" si="59"/>
        <v>0.31468747557370935</v>
      </c>
      <c r="AF144" s="335">
        <f t="shared" si="59"/>
        <v>0.32147313779084447</v>
      </c>
      <c r="AG144" s="335">
        <f t="shared" si="59"/>
        <v>0.32799462336469237</v>
      </c>
      <c r="AH144" s="335">
        <f t="shared" si="59"/>
        <v>0.33474139760917593</v>
      </c>
      <c r="AI144" s="335">
        <f t="shared" si="59"/>
        <v>0.34168296224475597</v>
      </c>
      <c r="AJ144" s="335">
        <f t="shared" si="59"/>
        <v>0.34827438937841132</v>
      </c>
      <c r="AK144" s="335">
        <f t="shared" si="59"/>
        <v>0.35476205088927404</v>
      </c>
      <c r="AL144" s="335">
        <f t="shared" si="59"/>
        <v>0.36111182248041718</v>
      </c>
      <c r="AM144" s="335">
        <f t="shared" si="59"/>
        <v>0.36732613022970939</v>
      </c>
      <c r="AN144" s="335">
        <f t="shared" si="59"/>
        <v>0.37309112271265843</v>
      </c>
      <c r="AO144" s="335">
        <f t="shared" si="59"/>
        <v>0.37837538312694197</v>
      </c>
      <c r="AP144" s="335">
        <f t="shared" si="59"/>
        <v>0.38345681040961122</v>
      </c>
      <c r="AQ144" s="335">
        <f t="shared" si="59"/>
        <v>0.38801351548727375</v>
      </c>
      <c r="AR144" s="335">
        <f t="shared" si="59"/>
        <v>0.39231549476988714</v>
      </c>
      <c r="AS144" s="335">
        <f t="shared" si="59"/>
        <v>0.39668796608191448</v>
      </c>
      <c r="AT144" s="335">
        <f t="shared" si="59"/>
        <v>0.40115573695605511</v>
      </c>
      <c r="AU144" s="335">
        <f t="shared" si="59"/>
        <v>0.4056952705535431</v>
      </c>
      <c r="AV144" s="335">
        <f t="shared" si="59"/>
        <v>0.41030733011087539</v>
      </c>
      <c r="AW144" s="335">
        <f t="shared" si="59"/>
        <v>0.41499744057910559</v>
      </c>
      <c r="AX144" s="335">
        <f t="shared" si="59"/>
        <v>0.41941400384846239</v>
      </c>
      <c r="AY144" s="335">
        <f t="shared" si="59"/>
        <v>0.42390850551349901</v>
      </c>
      <c r="AZ144" s="335">
        <f t="shared" si="59"/>
        <v>0.42848547393701142</v>
      </c>
      <c r="BA144" s="335">
        <f t="shared" si="59"/>
        <v>0.43317828138284858</v>
      </c>
      <c r="BB144" s="335">
        <f t="shared" si="59"/>
        <v>0.43831172082076175</v>
      </c>
      <c r="BC144" s="335">
        <f t="shared" si="59"/>
        <v>0.44355089658316993</v>
      </c>
      <c r="BD144" s="335">
        <f t="shared" si="59"/>
        <v>0.44890310902990699</v>
      </c>
      <c r="BE144" s="335">
        <f t="shared" si="59"/>
        <v>0.4543703571791004</v>
      </c>
      <c r="BF144" s="335">
        <f t="shared" si="59"/>
        <v>0.46032175779704781</v>
      </c>
      <c r="BG144" s="335">
        <f t="shared" si="59"/>
        <v>0.46643567121216073</v>
      </c>
      <c r="BH144" s="335">
        <f t="shared" si="59"/>
        <v>0.47268566536360523</v>
      </c>
      <c r="BI144" s="335">
        <f t="shared" si="59"/>
        <v>0.47942816490538065</v>
      </c>
    </row>
    <row r="145" spans="1:61" ht="45">
      <c r="A145" s="318" t="s">
        <v>894</v>
      </c>
      <c r="B145" s="334"/>
      <c r="C145" s="334"/>
      <c r="D145" s="334"/>
      <c r="E145" s="334"/>
      <c r="F145" s="334"/>
      <c r="G145" s="334"/>
      <c r="H145" s="334"/>
      <c r="I145" s="334"/>
      <c r="J145" s="334"/>
      <c r="K145" s="334"/>
      <c r="L145" s="334"/>
      <c r="M145" s="334"/>
      <c r="N145" s="334"/>
      <c r="O145" s="334"/>
      <c r="P145" s="334"/>
      <c r="Q145" s="334"/>
      <c r="R145" s="334"/>
      <c r="S145" s="334"/>
      <c r="T145" s="335">
        <f>T$108*$S$117</f>
        <v>0.17167677275872703</v>
      </c>
      <c r="U145" s="335">
        <f t="shared" ref="U145:BI145" si="60">U$108*$S$117</f>
        <v>0.1746516392819531</v>
      </c>
      <c r="V145" s="335">
        <f t="shared" si="60"/>
        <v>0.19373967590991797</v>
      </c>
      <c r="W145" s="335">
        <f t="shared" si="60"/>
        <v>0.23160475653998655</v>
      </c>
      <c r="X145" s="335">
        <f t="shared" si="60"/>
        <v>0.25842193480237524</v>
      </c>
      <c r="Y145" s="335">
        <f t="shared" si="60"/>
        <v>0.26550506689433523</v>
      </c>
      <c r="Z145" s="335">
        <f t="shared" si="60"/>
        <v>0.27406965915275583</v>
      </c>
      <c r="AA145" s="335">
        <f t="shared" si="60"/>
        <v>0.28227457746172263</v>
      </c>
      <c r="AB145" s="335">
        <f t="shared" si="60"/>
        <v>0.28926158452315259</v>
      </c>
      <c r="AC145" s="335">
        <f t="shared" si="60"/>
        <v>0.2964466588371118</v>
      </c>
      <c r="AD145" s="335">
        <f t="shared" si="60"/>
        <v>0.30361674951353979</v>
      </c>
      <c r="AE145" s="335">
        <f t="shared" si="60"/>
        <v>0.31075716778178536</v>
      </c>
      <c r="AF145" s="335">
        <f t="shared" si="60"/>
        <v>0.31745808007032306</v>
      </c>
      <c r="AG145" s="335">
        <f t="shared" si="60"/>
        <v>0.32389811516534572</v>
      </c>
      <c r="AH145" s="335">
        <f t="shared" si="60"/>
        <v>0.33056062517486062</v>
      </c>
      <c r="AI145" s="335">
        <f t="shared" si="60"/>
        <v>0.3374154927293902</v>
      </c>
      <c r="AJ145" s="335">
        <f t="shared" si="60"/>
        <v>0.34392459584498264</v>
      </c>
      <c r="AK145" s="335">
        <f t="shared" si="60"/>
        <v>0.35033122932465016</v>
      </c>
      <c r="AL145" s="335">
        <f t="shared" si="60"/>
        <v>0.35660169506888562</v>
      </c>
      <c r="AM145" s="335">
        <f t="shared" si="60"/>
        <v>0.36273838885491494</v>
      </c>
      <c r="AN145" s="335">
        <f t="shared" si="60"/>
        <v>0.36843137912412854</v>
      </c>
      <c r="AO145" s="335">
        <f t="shared" si="60"/>
        <v>0.37364964145621021</v>
      </c>
      <c r="AP145" s="335">
        <f t="shared" si="60"/>
        <v>0.3786676039530415</v>
      </c>
      <c r="AQ145" s="335">
        <f t="shared" si="60"/>
        <v>0.38316739779380277</v>
      </c>
      <c r="AR145" s="335">
        <f t="shared" si="60"/>
        <v>0.38741564725236033</v>
      </c>
      <c r="AS145" s="335">
        <f t="shared" si="60"/>
        <v>0.39173350832597165</v>
      </c>
      <c r="AT145" s="335">
        <f t="shared" si="60"/>
        <v>0.3961454787121928</v>
      </c>
      <c r="AU145" s="335">
        <f t="shared" si="60"/>
        <v>0.40062831553699418</v>
      </c>
      <c r="AV145" s="335">
        <f t="shared" si="60"/>
        <v>0.40518277250438556</v>
      </c>
      <c r="AW145" s="335">
        <f t="shared" si="60"/>
        <v>0.40981430556121845</v>
      </c>
      <c r="AX145" s="335">
        <f t="shared" si="60"/>
        <v>0.4141757079030568</v>
      </c>
      <c r="AY145" s="335">
        <f t="shared" si="60"/>
        <v>0.41861407522438393</v>
      </c>
      <c r="AZ145" s="335">
        <f t="shared" si="60"/>
        <v>0.42313387933074159</v>
      </c>
      <c r="BA145" s="335">
        <f t="shared" si="60"/>
        <v>0.42776807568112052</v>
      </c>
      <c r="BB145" s="335">
        <f t="shared" si="60"/>
        <v>0.43283740072431415</v>
      </c>
      <c r="BC145" s="335">
        <f t="shared" si="60"/>
        <v>0.43801114149193993</v>
      </c>
      <c r="BD145" s="335">
        <f t="shared" si="60"/>
        <v>0.4432965071655568</v>
      </c>
      <c r="BE145" s="335">
        <f t="shared" si="60"/>
        <v>0.44869547179643737</v>
      </c>
      <c r="BF145" s="335">
        <f t="shared" si="60"/>
        <v>0.45457254204524972</v>
      </c>
      <c r="BG145" s="335">
        <f t="shared" si="60"/>
        <v>0.46061009537805947</v>
      </c>
      <c r="BH145" s="335">
        <f t="shared" si="60"/>
        <v>0.46678202985881606</v>
      </c>
      <c r="BI145" s="335">
        <f t="shared" si="60"/>
        <v>0.47344031855477442</v>
      </c>
    </row>
    <row r="146" spans="1:61" ht="45">
      <c r="A146" s="318" t="s">
        <v>895</v>
      </c>
      <c r="B146" s="334"/>
      <c r="C146" s="334"/>
      <c r="D146" s="334"/>
      <c r="E146" s="334"/>
      <c r="F146" s="334"/>
      <c r="G146" s="334"/>
      <c r="H146" s="334"/>
      <c r="I146" s="334"/>
      <c r="J146" s="334"/>
      <c r="K146" s="334"/>
      <c r="L146" s="334"/>
      <c r="M146" s="334"/>
      <c r="N146" s="334"/>
      <c r="O146" s="334"/>
      <c r="P146" s="334"/>
      <c r="Q146" s="334"/>
      <c r="R146" s="334"/>
      <c r="S146" s="334"/>
      <c r="T146" s="335">
        <f>T$109*$T$117</f>
        <v>0.7649740660573473</v>
      </c>
      <c r="U146" s="335">
        <f t="shared" ref="U146:BI146" si="61">U$109*$T$117</f>
        <v>0.77822976572877767</v>
      </c>
      <c r="V146" s="335">
        <f t="shared" si="61"/>
        <v>0.86328409636246906</v>
      </c>
      <c r="W146" s="335">
        <f t="shared" si="61"/>
        <v>1.0320070064318536</v>
      </c>
      <c r="X146" s="335">
        <f t="shared" si="61"/>
        <v>1.1515015983088517</v>
      </c>
      <c r="Y146" s="335">
        <f t="shared" si="61"/>
        <v>1.1830633073842132</v>
      </c>
      <c r="Z146" s="335">
        <f t="shared" si="61"/>
        <v>1.2212262507968028</v>
      </c>
      <c r="AA146" s="335">
        <f t="shared" si="61"/>
        <v>1.257786524033647</v>
      </c>
      <c r="AB146" s="335">
        <f t="shared" si="61"/>
        <v>1.2889199098462119</v>
      </c>
      <c r="AC146" s="335">
        <f t="shared" si="61"/>
        <v>1.3209358629920589</v>
      </c>
      <c r="AD146" s="335">
        <f t="shared" si="61"/>
        <v>1.3528850505880736</v>
      </c>
      <c r="AE146" s="335">
        <f t="shared" si="61"/>
        <v>1.3847020209809557</v>
      </c>
      <c r="AF146" s="335">
        <f t="shared" si="61"/>
        <v>1.4145605978710303</v>
      </c>
      <c r="AG146" s="335">
        <f t="shared" si="61"/>
        <v>1.4432567327821582</v>
      </c>
      <c r="AH146" s="335">
        <f t="shared" si="61"/>
        <v>1.4729441930613023</v>
      </c>
      <c r="AI146" s="335">
        <f t="shared" si="61"/>
        <v>1.5034887788035021</v>
      </c>
      <c r="AJ146" s="335">
        <f t="shared" si="61"/>
        <v>1.5324926737201381</v>
      </c>
      <c r="AK146" s="335">
        <f t="shared" si="61"/>
        <v>1.561039974464008</v>
      </c>
      <c r="AL146" s="335">
        <f t="shared" si="61"/>
        <v>1.5889805257649252</v>
      </c>
      <c r="AM146" s="335">
        <f t="shared" si="61"/>
        <v>1.6163250029601322</v>
      </c>
      <c r="AN146" s="335">
        <f t="shared" si="61"/>
        <v>1.6416923828583185</v>
      </c>
      <c r="AO146" s="335">
        <f t="shared" si="61"/>
        <v>1.664944423829152</v>
      </c>
      <c r="AP146" s="335">
        <f t="shared" si="61"/>
        <v>1.6873039493074127</v>
      </c>
      <c r="AQ146" s="335">
        <f t="shared" si="61"/>
        <v>1.7073545684766382</v>
      </c>
      <c r="AR146" s="335">
        <f t="shared" si="61"/>
        <v>1.7262843317155241</v>
      </c>
      <c r="AS146" s="335">
        <f t="shared" si="61"/>
        <v>1.7455242771611044</v>
      </c>
      <c r="AT146" s="335">
        <f t="shared" si="61"/>
        <v>1.7651835640374687</v>
      </c>
      <c r="AU146" s="335">
        <f t="shared" si="61"/>
        <v>1.7851586244852753</v>
      </c>
      <c r="AV146" s="335">
        <f t="shared" si="61"/>
        <v>1.8054528169321771</v>
      </c>
      <c r="AW146" s="335">
        <f t="shared" si="61"/>
        <v>1.8260904525169497</v>
      </c>
      <c r="AX146" s="335">
        <f t="shared" si="61"/>
        <v>1.8455244133815156</v>
      </c>
      <c r="AY146" s="335">
        <f t="shared" si="61"/>
        <v>1.8653013222894161</v>
      </c>
      <c r="AZ146" s="335">
        <f t="shared" si="61"/>
        <v>1.8854411051468343</v>
      </c>
      <c r="BA146" s="335">
        <f t="shared" si="61"/>
        <v>1.9060906080940947</v>
      </c>
      <c r="BB146" s="335">
        <f t="shared" si="61"/>
        <v>1.9286789998033689</v>
      </c>
      <c r="BC146" s="335">
        <f t="shared" si="61"/>
        <v>1.9517326572559097</v>
      </c>
      <c r="BD146" s="335">
        <f t="shared" si="61"/>
        <v>1.9752837038242701</v>
      </c>
      <c r="BE146" s="335">
        <f t="shared" si="61"/>
        <v>1.9993409356781615</v>
      </c>
      <c r="BF146" s="335">
        <f t="shared" si="61"/>
        <v>2.0255285570581196</v>
      </c>
      <c r="BG146" s="335">
        <f t="shared" si="61"/>
        <v>2.0524312745767466</v>
      </c>
      <c r="BH146" s="335">
        <f t="shared" si="61"/>
        <v>2.0799327806879973</v>
      </c>
      <c r="BI146" s="335">
        <f t="shared" si="61"/>
        <v>2.1096014312275155</v>
      </c>
    </row>
    <row r="147" spans="1:61" ht="45">
      <c r="A147" s="318" t="s">
        <v>896</v>
      </c>
      <c r="B147" s="334"/>
      <c r="C147" s="334"/>
      <c r="D147" s="334"/>
      <c r="E147" s="334"/>
      <c r="F147" s="334"/>
      <c r="G147" s="334"/>
      <c r="H147" s="334"/>
      <c r="I147" s="334"/>
      <c r="J147" s="334"/>
      <c r="K147" s="334"/>
      <c r="L147" s="334"/>
      <c r="M147" s="334"/>
      <c r="N147" s="334"/>
      <c r="O147" s="334"/>
      <c r="P147" s="334"/>
      <c r="Q147" s="334"/>
      <c r="R147" s="334"/>
      <c r="S147" s="334"/>
      <c r="T147" s="335">
        <f>T$110*$T$117</f>
        <v>0.7649740660573473</v>
      </c>
      <c r="U147" s="335">
        <f t="shared" ref="U147:BI147" si="62">U$110*$T$117</f>
        <v>0.77822976572877767</v>
      </c>
      <c r="V147" s="335">
        <f t="shared" si="62"/>
        <v>0.86328409636246906</v>
      </c>
      <c r="W147" s="335">
        <f t="shared" si="62"/>
        <v>1.0320070064318536</v>
      </c>
      <c r="X147" s="335">
        <f t="shared" si="62"/>
        <v>1.1515015983088517</v>
      </c>
      <c r="Y147" s="335">
        <f t="shared" si="62"/>
        <v>1.1830633073842132</v>
      </c>
      <c r="Z147" s="335">
        <f t="shared" si="62"/>
        <v>1.2212262507968028</v>
      </c>
      <c r="AA147" s="335">
        <f t="shared" si="62"/>
        <v>1.257786524033647</v>
      </c>
      <c r="AB147" s="335">
        <f t="shared" si="62"/>
        <v>1.2889199098462119</v>
      </c>
      <c r="AC147" s="335">
        <f t="shared" si="62"/>
        <v>1.3209358629920589</v>
      </c>
      <c r="AD147" s="335">
        <f t="shared" si="62"/>
        <v>1.3528850505880736</v>
      </c>
      <c r="AE147" s="335">
        <f t="shared" si="62"/>
        <v>1.3847020209809557</v>
      </c>
      <c r="AF147" s="335">
        <f t="shared" si="62"/>
        <v>1.4145605978710303</v>
      </c>
      <c r="AG147" s="335">
        <f t="shared" si="62"/>
        <v>1.4432567327821582</v>
      </c>
      <c r="AH147" s="335">
        <f t="shared" si="62"/>
        <v>1.4729441930613023</v>
      </c>
      <c r="AI147" s="335">
        <f t="shared" si="62"/>
        <v>1.5034887788035021</v>
      </c>
      <c r="AJ147" s="335">
        <f t="shared" si="62"/>
        <v>1.5324926737201381</v>
      </c>
      <c r="AK147" s="335">
        <f t="shared" si="62"/>
        <v>1.561039974464008</v>
      </c>
      <c r="AL147" s="335">
        <f t="shared" si="62"/>
        <v>1.5889805257649252</v>
      </c>
      <c r="AM147" s="335">
        <f t="shared" si="62"/>
        <v>1.6163250029601322</v>
      </c>
      <c r="AN147" s="335">
        <f t="shared" si="62"/>
        <v>1.6416923828583185</v>
      </c>
      <c r="AO147" s="335">
        <f t="shared" si="62"/>
        <v>1.664944423829152</v>
      </c>
      <c r="AP147" s="335">
        <f t="shared" si="62"/>
        <v>1.6873039493074127</v>
      </c>
      <c r="AQ147" s="335">
        <f t="shared" si="62"/>
        <v>1.7073545684766382</v>
      </c>
      <c r="AR147" s="335">
        <f t="shared" si="62"/>
        <v>1.7262843317155241</v>
      </c>
      <c r="AS147" s="335">
        <f t="shared" si="62"/>
        <v>1.7455242771611044</v>
      </c>
      <c r="AT147" s="335">
        <f t="shared" si="62"/>
        <v>1.7651835640374687</v>
      </c>
      <c r="AU147" s="335">
        <f t="shared" si="62"/>
        <v>1.7851586244852753</v>
      </c>
      <c r="AV147" s="335">
        <f t="shared" si="62"/>
        <v>1.8054528169321771</v>
      </c>
      <c r="AW147" s="335">
        <f t="shared" si="62"/>
        <v>1.8260904525169497</v>
      </c>
      <c r="AX147" s="335">
        <f t="shared" si="62"/>
        <v>1.8455244133815156</v>
      </c>
      <c r="AY147" s="335">
        <f t="shared" si="62"/>
        <v>1.8653013222894161</v>
      </c>
      <c r="AZ147" s="335">
        <f t="shared" si="62"/>
        <v>1.8854411051468343</v>
      </c>
      <c r="BA147" s="335">
        <f t="shared" si="62"/>
        <v>1.9060906080940947</v>
      </c>
      <c r="BB147" s="335">
        <f t="shared" si="62"/>
        <v>1.9286789998033689</v>
      </c>
      <c r="BC147" s="335">
        <f t="shared" si="62"/>
        <v>1.9517326572559097</v>
      </c>
      <c r="BD147" s="335">
        <f t="shared" si="62"/>
        <v>1.9752837038242701</v>
      </c>
      <c r="BE147" s="335">
        <f t="shared" si="62"/>
        <v>1.9993409356781615</v>
      </c>
      <c r="BF147" s="335">
        <f t="shared" si="62"/>
        <v>2.0255285570581196</v>
      </c>
      <c r="BG147" s="335">
        <f t="shared" si="62"/>
        <v>2.0524312745767466</v>
      </c>
      <c r="BH147" s="335">
        <f t="shared" si="62"/>
        <v>2.0799327806879973</v>
      </c>
      <c r="BI147" s="335">
        <f t="shared" si="62"/>
        <v>2.1096014312275155</v>
      </c>
    </row>
    <row r="148" spans="1:61"/>
    <row r="149" spans="1:61" hidden="1"/>
    <row r="150" spans="1:61" hidden="1"/>
    <row r="151" spans="1:61" hidden="1"/>
    <row r="152" spans="1:61" hidden="1"/>
    <row r="153" spans="1:61" hidden="1"/>
    <row r="154" spans="1:61" hidden="1"/>
  </sheetData>
  <mergeCells count="21">
    <mergeCell ref="A140:V141"/>
    <mergeCell ref="A142:A143"/>
    <mergeCell ref="A134:A135"/>
    <mergeCell ref="A127:V128"/>
    <mergeCell ref="A131:V133"/>
    <mergeCell ref="A129:V130"/>
    <mergeCell ref="P61:P62"/>
    <mergeCell ref="A100:A101"/>
    <mergeCell ref="A105:A106"/>
    <mergeCell ref="A121:A122"/>
    <mergeCell ref="A80:V81"/>
    <mergeCell ref="A98:V99"/>
    <mergeCell ref="A61:A62"/>
    <mergeCell ref="B61:B62"/>
    <mergeCell ref="A6:V7"/>
    <mergeCell ref="A33:V37"/>
    <mergeCell ref="A38:V40"/>
    <mergeCell ref="A41:V42"/>
    <mergeCell ref="A54:V58"/>
    <mergeCell ref="A10:A11"/>
    <mergeCell ref="B10:B11"/>
  </mergeCells>
  <dataValidations count="1">
    <dataValidation type="decimal" allowBlank="1" showInputMessage="1" showErrorMessage="1" promptTitle="Udziały %" prompt="Tylko wartości od 0% do 100% włącznie." sqref="P51:P52 P46:P49">
      <formula1>0</formula1>
      <formula2>1</formula2>
    </dataValidation>
  </dataValidations>
  <hyperlinks>
    <hyperlink ref="A82" location="Indeksacja!A29" display="Nota metodologiczna"/>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8"/>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0" defaultRowHeight="15" zeroHeight="1" outlineLevelCol="1"/>
  <cols>
    <col min="1" max="1" width="29.28515625" customWidth="1"/>
    <col min="2" max="2" width="10" bestFit="1" customWidth="1"/>
    <col min="3" max="15" width="1.7109375" hidden="1" customWidth="1" outlineLevel="1"/>
    <col min="16" max="16" width="13.5703125" bestFit="1" customWidth="1" collapsed="1"/>
    <col min="17" max="61" width="13.5703125" bestFit="1" customWidth="1"/>
    <col min="62" max="62" width="9.140625" customWidth="1"/>
    <col min="63" max="16384" width="9.140625" hidden="1"/>
  </cols>
  <sheetData>
    <row r="1" spans="1:61" ht="21">
      <c r="A1" s="4" t="s">
        <v>317</v>
      </c>
      <c r="B1" s="5"/>
      <c r="C1" s="88"/>
      <c r="D1" s="88"/>
      <c r="E1" s="88"/>
      <c r="F1" s="88"/>
      <c r="G1" s="88"/>
      <c r="H1" s="88"/>
      <c r="I1" s="88"/>
      <c r="J1" s="88"/>
      <c r="K1" s="88"/>
      <c r="L1" s="5"/>
      <c r="M1" s="88"/>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row>
    <row r="2" spans="1:61">
      <c r="A2" s="350" t="str">
        <f>Indeksacja!$A$2</f>
        <v>Dla roku bazowego 2024 właściwe do zastosowania w analizie są wartości kosztów jednostkowych określone według poziomu cenowego z końca roku poprzedniego, tzn. 2023.</v>
      </c>
    </row>
    <row r="3" spans="1:61"/>
    <row r="4" spans="1:61">
      <c r="A4" s="331" t="s">
        <v>776</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0"/>
      <c r="AW4" s="350"/>
      <c r="AX4" s="350"/>
      <c r="AY4" s="350"/>
      <c r="AZ4" s="350"/>
      <c r="BA4" s="350"/>
      <c r="BB4" s="350"/>
      <c r="BC4" s="350"/>
      <c r="BD4" s="350"/>
      <c r="BE4" s="350"/>
      <c r="BF4" s="350"/>
      <c r="BG4" s="350"/>
      <c r="BH4" s="350"/>
      <c r="BI4" s="350"/>
    </row>
    <row r="5" spans="1:61">
      <c r="A5" s="332"/>
      <c r="B5" s="223"/>
      <c r="C5" s="223"/>
      <c r="D5" s="223"/>
      <c r="E5" s="223"/>
      <c r="F5" s="223"/>
      <c r="G5" s="223"/>
      <c r="H5" s="223"/>
      <c r="I5" s="223"/>
      <c r="J5" s="223"/>
      <c r="K5" s="223"/>
      <c r="L5" s="223"/>
      <c r="M5" s="223"/>
      <c r="N5" s="223"/>
      <c r="O5" s="223"/>
      <c r="P5" s="223"/>
      <c r="Q5" s="223"/>
      <c r="R5" s="223"/>
      <c r="S5" s="223">
        <v>2018</v>
      </c>
      <c r="T5" s="730"/>
      <c r="U5" s="730"/>
      <c r="V5" s="730">
        <v>2021</v>
      </c>
      <c r="W5" s="730">
        <v>2022</v>
      </c>
      <c r="X5" s="350"/>
      <c r="Y5" s="350"/>
      <c r="Z5" s="350"/>
      <c r="AA5" s="350"/>
      <c r="AB5" s="350"/>
      <c r="AC5" s="350"/>
      <c r="AD5" s="350"/>
      <c r="AE5" s="350"/>
      <c r="AF5" s="350"/>
      <c r="AG5" s="350"/>
      <c r="AH5" s="350"/>
      <c r="AI5" s="350"/>
      <c r="AJ5" s="350"/>
      <c r="AK5" s="350"/>
      <c r="AL5" s="350"/>
      <c r="AM5" s="350"/>
      <c r="AN5" s="350"/>
      <c r="AO5" s="350"/>
      <c r="AP5" s="350"/>
      <c r="AQ5" s="350"/>
      <c r="AR5" s="350"/>
      <c r="AS5" s="350"/>
      <c r="AT5" s="350"/>
      <c r="AU5" s="350"/>
      <c r="AV5" s="350"/>
      <c r="AW5" s="350"/>
      <c r="AX5" s="350"/>
      <c r="AY5" s="350"/>
      <c r="AZ5" s="350"/>
      <c r="BA5" s="350"/>
      <c r="BB5" s="350"/>
      <c r="BC5" s="350"/>
      <c r="BD5" s="350"/>
      <c r="BE5" s="350"/>
      <c r="BF5" s="350"/>
      <c r="BG5" s="350"/>
      <c r="BH5" s="350"/>
      <c r="BI5" s="350"/>
    </row>
    <row r="6" spans="1:61">
      <c r="A6" s="349" t="s">
        <v>777</v>
      </c>
      <c r="B6" s="363"/>
      <c r="C6" s="364"/>
      <c r="D6" s="364"/>
      <c r="E6" s="364"/>
      <c r="F6" s="364"/>
      <c r="G6" s="364"/>
      <c r="H6" s="364"/>
      <c r="I6" s="364"/>
      <c r="J6" s="364"/>
      <c r="K6" s="364"/>
      <c r="L6" s="364"/>
      <c r="M6" s="364"/>
      <c r="N6" s="364"/>
      <c r="O6" s="364"/>
      <c r="P6" s="364"/>
      <c r="Q6" s="364"/>
      <c r="R6" s="364"/>
      <c r="S6" s="363">
        <v>2392125</v>
      </c>
      <c r="T6" s="731"/>
      <c r="U6" s="731"/>
      <c r="V6" s="731">
        <v>2674812</v>
      </c>
      <c r="W6" s="731">
        <v>2574642</v>
      </c>
      <c r="X6" s="350"/>
      <c r="Y6" s="350"/>
      <c r="Z6" s="350"/>
      <c r="AA6" s="350"/>
      <c r="AB6" s="350"/>
      <c r="AC6" s="350"/>
      <c r="AD6" s="350"/>
      <c r="AE6" s="350"/>
      <c r="AF6" s="350"/>
      <c r="AG6" s="350"/>
      <c r="AH6" s="350"/>
      <c r="AI6" s="350"/>
      <c r="AJ6" s="350"/>
      <c r="AK6" s="350"/>
      <c r="AL6" s="350"/>
      <c r="AM6" s="350"/>
      <c r="AN6" s="350"/>
      <c r="AO6" s="350"/>
      <c r="AP6" s="350"/>
      <c r="AQ6" s="350"/>
      <c r="AR6" s="350"/>
      <c r="AS6" s="350"/>
      <c r="AT6" s="350"/>
      <c r="AU6" s="350"/>
      <c r="AV6" s="350"/>
      <c r="AW6" s="350"/>
      <c r="AX6" s="350"/>
      <c r="AY6" s="350"/>
      <c r="AZ6" s="350"/>
      <c r="BA6" s="350"/>
      <c r="BB6" s="350"/>
      <c r="BC6" s="350"/>
      <c r="BD6" s="350"/>
      <c r="BE6" s="350"/>
      <c r="BF6" s="350"/>
      <c r="BG6" s="350"/>
      <c r="BH6" s="350"/>
      <c r="BI6" s="350"/>
    </row>
    <row r="7" spans="1:61">
      <c r="A7" s="349" t="s">
        <v>778</v>
      </c>
      <c r="B7" s="363"/>
      <c r="C7" s="364"/>
      <c r="D7" s="364"/>
      <c r="E7" s="364"/>
      <c r="F7" s="364"/>
      <c r="G7" s="364"/>
      <c r="H7" s="364"/>
      <c r="I7" s="364"/>
      <c r="J7" s="364"/>
      <c r="K7" s="364"/>
      <c r="L7" s="364"/>
      <c r="M7" s="364"/>
      <c r="N7" s="364"/>
      <c r="O7" s="364"/>
      <c r="P7" s="364"/>
      <c r="Q7" s="364"/>
      <c r="R7" s="364"/>
      <c r="S7" s="363">
        <v>3309300</v>
      </c>
      <c r="T7" s="731"/>
      <c r="U7" s="731"/>
      <c r="V7" s="731">
        <v>3472420</v>
      </c>
      <c r="W7" s="731">
        <v>4203244</v>
      </c>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50"/>
      <c r="BE7" s="350"/>
      <c r="BF7" s="350"/>
      <c r="BG7" s="350"/>
      <c r="BH7" s="350"/>
      <c r="BI7" s="350"/>
    </row>
    <row r="8" spans="1:61">
      <c r="A8" s="349" t="s">
        <v>779</v>
      </c>
      <c r="B8" s="363"/>
      <c r="C8" s="364"/>
      <c r="D8" s="364"/>
      <c r="E8" s="364"/>
      <c r="F8" s="364"/>
      <c r="G8" s="364"/>
      <c r="H8" s="364"/>
      <c r="I8" s="364"/>
      <c r="J8" s="364"/>
      <c r="K8" s="364"/>
      <c r="L8" s="364"/>
      <c r="M8" s="364"/>
      <c r="N8" s="364"/>
      <c r="O8" s="364"/>
      <c r="P8" s="364"/>
      <c r="Q8" s="364"/>
      <c r="R8" s="364"/>
      <c r="S8" s="363">
        <v>48165</v>
      </c>
      <c r="T8" s="731"/>
      <c r="U8" s="731"/>
      <c r="V8" s="731">
        <v>51352</v>
      </c>
      <c r="W8" s="731">
        <v>54558</v>
      </c>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0"/>
      <c r="AZ8" s="350"/>
      <c r="BA8" s="350"/>
      <c r="BB8" s="350"/>
      <c r="BC8" s="350"/>
      <c r="BD8" s="350"/>
      <c r="BE8" s="350"/>
      <c r="BF8" s="350"/>
      <c r="BG8" s="350"/>
      <c r="BH8" s="350"/>
      <c r="BI8" s="350"/>
    </row>
    <row r="9" spans="1:61">
      <c r="A9" s="349" t="s">
        <v>780</v>
      </c>
      <c r="B9" s="363"/>
      <c r="C9" s="364"/>
      <c r="D9" s="364"/>
      <c r="E9" s="364"/>
      <c r="F9" s="364"/>
      <c r="G9" s="364"/>
      <c r="H9" s="364"/>
      <c r="I9" s="364"/>
      <c r="J9" s="364"/>
      <c r="K9" s="364"/>
      <c r="L9" s="364"/>
      <c r="M9" s="364"/>
      <c r="N9" s="364"/>
      <c r="O9" s="364"/>
      <c r="P9" s="364"/>
      <c r="Q9" s="364"/>
      <c r="R9" s="364"/>
      <c r="S9" s="363">
        <v>15385</v>
      </c>
      <c r="T9" s="731"/>
      <c r="U9" s="731"/>
      <c r="V9" s="731">
        <v>4683</v>
      </c>
      <c r="W9" s="731">
        <v>19004</v>
      </c>
      <c r="X9" s="350"/>
      <c r="Y9" s="350"/>
      <c r="Z9" s="350"/>
      <c r="AA9" s="350"/>
      <c r="AB9" s="350"/>
      <c r="AC9" s="350"/>
      <c r="AD9" s="350"/>
      <c r="AE9" s="350"/>
      <c r="AF9" s="350"/>
      <c r="AG9" s="350"/>
      <c r="AH9" s="350"/>
      <c r="AI9" s="350"/>
      <c r="AJ9" s="350"/>
      <c r="AK9" s="350"/>
      <c r="AL9" s="350"/>
      <c r="AM9" s="350"/>
      <c r="AN9" s="350"/>
      <c r="AO9" s="350"/>
      <c r="AP9" s="350"/>
      <c r="AQ9" s="350"/>
      <c r="AR9" s="350"/>
      <c r="AS9" s="350"/>
      <c r="AT9" s="350"/>
      <c r="AU9" s="350"/>
      <c r="AV9" s="350"/>
      <c r="AW9" s="350"/>
      <c r="AX9" s="350"/>
      <c r="AY9" s="350"/>
      <c r="AZ9" s="350"/>
      <c r="BA9" s="350"/>
      <c r="BB9" s="350"/>
      <c r="BC9" s="350"/>
      <c r="BD9" s="350"/>
      <c r="BE9" s="350"/>
      <c r="BF9" s="350"/>
      <c r="BG9" s="350"/>
      <c r="BH9" s="350"/>
      <c r="BI9" s="350"/>
    </row>
    <row r="10" spans="1:61">
      <c r="A10" s="349" t="s">
        <v>781</v>
      </c>
      <c r="B10" s="363"/>
      <c r="C10" s="364"/>
      <c r="D10" s="364"/>
      <c r="E10" s="364"/>
      <c r="F10" s="364"/>
      <c r="G10" s="364"/>
      <c r="H10" s="364"/>
      <c r="I10" s="364"/>
      <c r="J10" s="364"/>
      <c r="K10" s="364"/>
      <c r="L10" s="364"/>
      <c r="M10" s="364"/>
      <c r="N10" s="364"/>
      <c r="O10" s="364"/>
      <c r="P10" s="364"/>
      <c r="Q10" s="364"/>
      <c r="R10" s="364"/>
      <c r="S10" s="363">
        <v>1420191</v>
      </c>
      <c r="T10" s="731"/>
      <c r="U10" s="731"/>
      <c r="V10" s="731">
        <v>1569701</v>
      </c>
      <c r="W10" s="731">
        <v>1780313</v>
      </c>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0"/>
      <c r="AT10" s="350"/>
      <c r="AU10" s="350"/>
      <c r="AV10" s="350"/>
      <c r="AW10" s="350"/>
      <c r="AX10" s="350"/>
      <c r="AY10" s="350"/>
      <c r="AZ10" s="350"/>
      <c r="BA10" s="350"/>
      <c r="BB10" s="350"/>
      <c r="BC10" s="350"/>
      <c r="BD10" s="350"/>
      <c r="BE10" s="350"/>
      <c r="BF10" s="350"/>
      <c r="BG10" s="350"/>
      <c r="BH10" s="350"/>
      <c r="BI10" s="350"/>
    </row>
    <row r="11" spans="1:61">
      <c r="A11" s="365" t="s">
        <v>180</v>
      </c>
      <c r="B11" s="67"/>
      <c r="C11" s="67"/>
      <c r="D11" s="67"/>
      <c r="E11" s="67"/>
      <c r="F11" s="67"/>
      <c r="G11" s="67"/>
      <c r="H11" s="67"/>
      <c r="I11" s="67"/>
      <c r="J11" s="67"/>
      <c r="K11" s="67"/>
      <c r="L11" s="67"/>
      <c r="M11" s="67"/>
      <c r="N11" s="67"/>
      <c r="O11" s="67"/>
      <c r="P11" s="67"/>
      <c r="Q11" s="67"/>
      <c r="R11" s="67"/>
      <c r="S11" s="67"/>
      <c r="T11" s="350"/>
      <c r="U11" s="350"/>
      <c r="V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0"/>
      <c r="AV11" s="350"/>
      <c r="AW11" s="350"/>
      <c r="AX11" s="350"/>
      <c r="AY11" s="350"/>
      <c r="AZ11" s="350"/>
      <c r="BA11" s="350"/>
      <c r="BB11" s="350"/>
      <c r="BC11" s="350"/>
      <c r="BD11" s="350"/>
      <c r="BE11" s="350"/>
      <c r="BF11" s="350"/>
      <c r="BG11" s="350"/>
      <c r="BH11" s="350"/>
      <c r="BI11" s="350"/>
    </row>
    <row r="12" spans="1:61">
      <c r="A12" s="871" t="s">
        <v>782</v>
      </c>
      <c r="B12" s="871"/>
      <c r="C12" s="871"/>
      <c r="D12" s="871"/>
      <c r="E12" s="871"/>
      <c r="F12" s="871"/>
      <c r="G12" s="871"/>
      <c r="H12" s="871"/>
      <c r="I12" s="871"/>
      <c r="J12" s="871"/>
      <c r="K12" s="871"/>
      <c r="L12" s="871"/>
      <c r="M12" s="871"/>
      <c r="N12" s="871"/>
      <c r="O12" s="871"/>
      <c r="P12" s="871"/>
      <c r="Q12" s="871"/>
      <c r="R12" s="871"/>
      <c r="S12" s="871"/>
      <c r="T12" s="871"/>
      <c r="U12" s="871"/>
      <c r="V12" s="871"/>
      <c r="W12" s="350"/>
      <c r="X12" s="350"/>
      <c r="Y12" s="350"/>
      <c r="Z12" s="350"/>
      <c r="AA12" s="350"/>
      <c r="AB12" s="350"/>
      <c r="AC12" s="350"/>
      <c r="AD12" s="350"/>
      <c r="AE12" s="350"/>
      <c r="AF12" s="350"/>
      <c r="AG12" s="350"/>
      <c r="AH12" s="350"/>
      <c r="AI12" s="350"/>
      <c r="AJ12" s="350"/>
      <c r="AK12" s="350"/>
      <c r="AL12" s="350"/>
      <c r="AM12" s="350"/>
      <c r="AN12" s="350"/>
      <c r="AO12" s="350"/>
      <c r="AP12" s="350"/>
      <c r="AQ12" s="350"/>
      <c r="AR12" s="350"/>
      <c r="AS12" s="350"/>
      <c r="AT12" s="350"/>
      <c r="AU12" s="350"/>
      <c r="AV12" s="350"/>
      <c r="AW12" s="350"/>
      <c r="AX12" s="350"/>
      <c r="AY12" s="350"/>
      <c r="AZ12" s="350"/>
      <c r="BA12" s="350"/>
      <c r="BB12" s="350"/>
      <c r="BC12" s="350"/>
      <c r="BD12" s="350"/>
      <c r="BE12" s="350"/>
      <c r="BF12" s="350"/>
      <c r="BG12" s="350"/>
      <c r="BH12" s="350"/>
      <c r="BI12" s="350"/>
    </row>
    <row r="13" spans="1:61" s="672" customFormat="1">
      <c r="A13" s="871"/>
      <c r="B13" s="871"/>
      <c r="C13" s="871"/>
      <c r="D13" s="871"/>
      <c r="E13" s="871"/>
      <c r="F13" s="871"/>
      <c r="G13" s="871"/>
      <c r="H13" s="871"/>
      <c r="I13" s="871"/>
      <c r="J13" s="871"/>
      <c r="K13" s="871"/>
      <c r="L13" s="871"/>
      <c r="M13" s="871"/>
      <c r="N13" s="871"/>
      <c r="O13" s="871"/>
      <c r="P13" s="871"/>
      <c r="Q13" s="871"/>
      <c r="R13" s="871"/>
      <c r="S13" s="871"/>
      <c r="T13" s="871"/>
      <c r="U13" s="871"/>
      <c r="V13" s="871"/>
    </row>
    <row r="14" spans="1:61">
      <c r="A14" s="880" t="s">
        <v>783</v>
      </c>
      <c r="B14" s="791"/>
      <c r="C14" s="791"/>
      <c r="D14" s="791"/>
      <c r="E14" s="791"/>
      <c r="F14" s="791"/>
      <c r="G14" s="791"/>
      <c r="H14" s="791"/>
      <c r="I14" s="791"/>
      <c r="J14" s="791"/>
      <c r="K14" s="791"/>
      <c r="L14" s="791"/>
      <c r="M14" s="791"/>
      <c r="N14" s="791"/>
      <c r="O14" s="791"/>
      <c r="P14" s="791"/>
      <c r="Q14" s="791"/>
      <c r="R14" s="791"/>
      <c r="S14" s="791"/>
      <c r="T14" s="791"/>
      <c r="U14" s="791"/>
      <c r="V14" s="791"/>
      <c r="W14" s="350"/>
      <c r="X14" s="350"/>
      <c r="Y14" s="350"/>
      <c r="Z14" s="350"/>
      <c r="AA14" s="350"/>
      <c r="AB14" s="350"/>
      <c r="AC14" s="350"/>
      <c r="AD14" s="350"/>
      <c r="AE14" s="350"/>
      <c r="AF14" s="350"/>
      <c r="AG14" s="350"/>
      <c r="AH14" s="350"/>
      <c r="AI14" s="350"/>
      <c r="AJ14" s="350"/>
      <c r="AK14" s="350"/>
      <c r="AL14" s="350"/>
      <c r="AM14" s="350"/>
      <c r="AN14" s="350"/>
      <c r="AO14" s="350"/>
      <c r="AP14" s="350"/>
      <c r="AQ14" s="350"/>
      <c r="AR14" s="350"/>
      <c r="AS14" s="350"/>
      <c r="AT14" s="350"/>
      <c r="AU14" s="350"/>
      <c r="AV14" s="350"/>
      <c r="AW14" s="350"/>
      <c r="AX14" s="350"/>
      <c r="AY14" s="350"/>
      <c r="AZ14" s="350"/>
      <c r="BA14" s="350"/>
      <c r="BB14" s="350"/>
      <c r="BC14" s="350"/>
      <c r="BD14" s="350"/>
      <c r="BE14" s="350"/>
      <c r="BF14" s="350"/>
      <c r="BG14" s="350"/>
      <c r="BH14" s="350"/>
      <c r="BI14" s="350"/>
    </row>
    <row r="15" spans="1:61" s="672" customFormat="1">
      <c r="A15" s="880"/>
      <c r="B15" s="791"/>
      <c r="C15" s="791"/>
      <c r="D15" s="791"/>
      <c r="E15" s="791"/>
      <c r="F15" s="791"/>
      <c r="G15" s="791"/>
      <c r="H15" s="791"/>
      <c r="I15" s="791"/>
      <c r="J15" s="791"/>
      <c r="K15" s="791"/>
      <c r="L15" s="791"/>
      <c r="M15" s="791"/>
      <c r="N15" s="791"/>
      <c r="O15" s="791"/>
      <c r="P15" s="791"/>
      <c r="Q15" s="791"/>
      <c r="R15" s="791"/>
      <c r="S15" s="791"/>
      <c r="T15" s="791"/>
      <c r="U15" s="791"/>
      <c r="V15" s="791"/>
    </row>
    <row r="16" spans="1:61" s="672" customFormat="1">
      <c r="A16" s="880"/>
      <c r="B16" s="791"/>
      <c r="C16" s="791"/>
      <c r="D16" s="791"/>
      <c r="E16" s="791"/>
      <c r="F16" s="791"/>
      <c r="G16" s="791"/>
      <c r="H16" s="791"/>
      <c r="I16" s="791"/>
      <c r="J16" s="791"/>
      <c r="K16" s="791"/>
      <c r="L16" s="791"/>
      <c r="M16" s="791"/>
      <c r="N16" s="791"/>
      <c r="O16" s="791"/>
      <c r="P16" s="791"/>
      <c r="Q16" s="791"/>
      <c r="R16" s="791"/>
      <c r="S16" s="791"/>
      <c r="T16" s="791"/>
      <c r="U16" s="791"/>
      <c r="V16" s="791"/>
    </row>
    <row r="17" spans="1:61" s="672" customFormat="1">
      <c r="A17" s="880"/>
      <c r="B17" s="791"/>
      <c r="C17" s="791"/>
      <c r="D17" s="791"/>
      <c r="E17" s="791"/>
      <c r="F17" s="791"/>
      <c r="G17" s="791"/>
      <c r="H17" s="791"/>
      <c r="I17" s="791"/>
      <c r="J17" s="791"/>
      <c r="K17" s="791"/>
      <c r="L17" s="791"/>
      <c r="M17" s="791"/>
      <c r="N17" s="791"/>
      <c r="O17" s="791"/>
      <c r="P17" s="791"/>
      <c r="Q17" s="791"/>
      <c r="R17" s="791"/>
      <c r="S17" s="791"/>
      <c r="T17" s="791"/>
      <c r="U17" s="791"/>
      <c r="V17" s="791"/>
    </row>
    <row r="18" spans="1:61">
      <c r="A18" s="871" t="s">
        <v>784</v>
      </c>
      <c r="B18" s="871"/>
      <c r="C18" s="871"/>
      <c r="D18" s="871"/>
      <c r="E18" s="871"/>
      <c r="F18" s="871"/>
      <c r="G18" s="871"/>
      <c r="H18" s="871"/>
      <c r="I18" s="871"/>
      <c r="J18" s="871"/>
      <c r="K18" s="871"/>
      <c r="L18" s="871"/>
      <c r="M18" s="871"/>
      <c r="N18" s="871"/>
      <c r="O18" s="871"/>
      <c r="P18" s="871"/>
      <c r="Q18" s="871"/>
      <c r="R18" s="871"/>
      <c r="S18" s="871"/>
      <c r="T18" s="871"/>
      <c r="U18" s="871"/>
      <c r="V18" s="871"/>
      <c r="W18" s="350"/>
      <c r="X18" s="350"/>
      <c r="Y18" s="350"/>
      <c r="Z18" s="350"/>
      <c r="AA18" s="350"/>
      <c r="AB18" s="350"/>
      <c r="AC18" s="350"/>
      <c r="AD18" s="350"/>
      <c r="AE18" s="350"/>
      <c r="AF18" s="350"/>
      <c r="AG18" s="350"/>
      <c r="AH18" s="350"/>
      <c r="AI18" s="350"/>
      <c r="AJ18" s="350"/>
      <c r="AK18" s="350"/>
      <c r="AL18" s="350"/>
      <c r="AM18" s="350"/>
      <c r="AN18" s="350"/>
      <c r="AO18" s="350"/>
      <c r="AP18" s="350"/>
      <c r="AQ18" s="350"/>
      <c r="AR18" s="350"/>
      <c r="AS18" s="350"/>
      <c r="AT18" s="350"/>
      <c r="AU18" s="350"/>
      <c r="AV18" s="350"/>
      <c r="AW18" s="350"/>
      <c r="AX18" s="350"/>
      <c r="AY18" s="350"/>
      <c r="AZ18" s="350"/>
      <c r="BA18" s="350"/>
      <c r="BB18" s="350"/>
      <c r="BC18" s="350"/>
      <c r="BD18" s="350"/>
      <c r="BE18" s="350"/>
      <c r="BF18" s="350"/>
      <c r="BG18" s="350"/>
      <c r="BH18" s="350"/>
      <c r="BI18" s="350"/>
    </row>
    <row r="19" spans="1:61" s="672" customFormat="1">
      <c r="A19" s="871"/>
      <c r="B19" s="871"/>
      <c r="C19" s="871"/>
      <c r="D19" s="871"/>
      <c r="E19" s="871"/>
      <c r="F19" s="871"/>
      <c r="G19" s="871"/>
      <c r="H19" s="871"/>
      <c r="I19" s="871"/>
      <c r="J19" s="871"/>
      <c r="K19" s="871"/>
      <c r="L19" s="871"/>
      <c r="M19" s="871"/>
      <c r="N19" s="871"/>
      <c r="O19" s="871"/>
      <c r="P19" s="871"/>
      <c r="Q19" s="871"/>
      <c r="R19" s="871"/>
      <c r="S19" s="871"/>
      <c r="T19" s="871"/>
      <c r="U19" s="871"/>
      <c r="V19" s="871"/>
    </row>
    <row r="20" spans="1:61">
      <c r="A20" s="35" t="s">
        <v>785</v>
      </c>
      <c r="B20" s="350"/>
      <c r="C20" s="350"/>
      <c r="D20" s="350"/>
      <c r="E20" s="350"/>
      <c r="F20" s="350"/>
      <c r="G20" s="350"/>
      <c r="H20" s="350"/>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c r="AY20" s="350"/>
      <c r="AZ20" s="350"/>
      <c r="BA20" s="350"/>
      <c r="BB20" s="350"/>
      <c r="BC20" s="350"/>
      <c r="BD20" s="350"/>
      <c r="BE20" s="350"/>
      <c r="BF20" s="350"/>
      <c r="BG20" s="350"/>
      <c r="BH20" s="350"/>
      <c r="BI20" s="350"/>
    </row>
    <row r="21" spans="1:61">
      <c r="A21" s="35"/>
      <c r="B21" s="350"/>
      <c r="C21" s="350"/>
      <c r="D21" s="350"/>
      <c r="E21" s="350"/>
      <c r="F21" s="350"/>
      <c r="G21" s="350"/>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50"/>
      <c r="AM21" s="350"/>
      <c r="AN21" s="350"/>
      <c r="AO21" s="350"/>
      <c r="AP21" s="350"/>
      <c r="AQ21" s="350"/>
      <c r="AR21" s="350"/>
      <c r="AS21" s="350"/>
      <c r="AT21" s="350"/>
      <c r="AU21" s="350"/>
      <c r="AV21" s="350"/>
      <c r="AW21" s="350"/>
      <c r="AX21" s="350"/>
      <c r="AY21" s="350"/>
      <c r="AZ21" s="350"/>
      <c r="BA21" s="350"/>
      <c r="BB21" s="350"/>
      <c r="BC21" s="350"/>
      <c r="BD21" s="350"/>
      <c r="BE21" s="350"/>
      <c r="BF21" s="350"/>
      <c r="BG21" s="350"/>
      <c r="BH21" s="350"/>
      <c r="BI21" s="350"/>
    </row>
    <row r="22" spans="1:61">
      <c r="A22" s="331" t="s">
        <v>786</v>
      </c>
      <c r="B22" s="350"/>
      <c r="C22" s="350"/>
      <c r="D22" s="350"/>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50"/>
      <c r="AZ22" s="350"/>
      <c r="BA22" s="350"/>
      <c r="BB22" s="350"/>
      <c r="BC22" s="350"/>
      <c r="BD22" s="350"/>
      <c r="BE22" s="350"/>
      <c r="BF22" s="350"/>
      <c r="BG22" s="350"/>
      <c r="BH22" s="350"/>
      <c r="BI22" s="350"/>
    </row>
    <row r="23" spans="1:61">
      <c r="A23" s="223"/>
      <c r="B23" s="223"/>
      <c r="C23" s="223"/>
      <c r="D23" s="223"/>
      <c r="E23" s="223"/>
      <c r="F23" s="223"/>
      <c r="G23" s="223"/>
      <c r="H23" s="223"/>
      <c r="I23" s="223"/>
      <c r="J23" s="223"/>
      <c r="K23" s="223"/>
      <c r="L23" s="223"/>
      <c r="M23" s="223"/>
      <c r="N23" s="223"/>
      <c r="O23" s="223"/>
      <c r="P23" s="223">
        <v>2015</v>
      </c>
      <c r="Q23" s="223">
        <f t="shared" ref="Q23:T23" si="0">P23+1</f>
        <v>2016</v>
      </c>
      <c r="R23" s="223">
        <f t="shared" si="0"/>
        <v>2017</v>
      </c>
      <c r="S23" s="223">
        <f t="shared" si="0"/>
        <v>2018</v>
      </c>
      <c r="T23" s="223">
        <f t="shared" si="0"/>
        <v>2019</v>
      </c>
      <c r="U23" s="730">
        <v>2020</v>
      </c>
      <c r="V23" s="730">
        <v>2021</v>
      </c>
      <c r="W23" s="730">
        <v>2022</v>
      </c>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c r="AV23" s="350"/>
      <c r="AW23" s="350"/>
      <c r="AX23" s="350"/>
      <c r="AY23" s="350"/>
      <c r="AZ23" s="350"/>
      <c r="BA23" s="350"/>
      <c r="BB23" s="350"/>
      <c r="BC23" s="350"/>
      <c r="BD23" s="350"/>
      <c r="BE23" s="350"/>
      <c r="BF23" s="350"/>
      <c r="BG23" s="350"/>
      <c r="BH23" s="350"/>
      <c r="BI23" s="350"/>
    </row>
    <row r="24" spans="1:61">
      <c r="A24" s="367" t="s">
        <v>181</v>
      </c>
      <c r="B24" s="363"/>
      <c r="C24" s="363"/>
      <c r="D24" s="363"/>
      <c r="E24" s="363"/>
      <c r="F24" s="363"/>
      <c r="G24" s="363"/>
      <c r="H24" s="363"/>
      <c r="I24" s="363"/>
      <c r="J24" s="363"/>
      <c r="K24" s="363"/>
      <c r="L24" s="363"/>
      <c r="M24" s="363"/>
      <c r="N24" s="363"/>
      <c r="O24" s="363"/>
      <c r="P24" s="363">
        <v>32967</v>
      </c>
      <c r="Q24" s="363">
        <v>33664</v>
      </c>
      <c r="R24" s="363">
        <v>32760</v>
      </c>
      <c r="S24" s="363">
        <v>31674</v>
      </c>
      <c r="T24" s="363">
        <v>30288</v>
      </c>
      <c r="U24" s="731">
        <v>23540</v>
      </c>
      <c r="V24" s="731">
        <v>22816</v>
      </c>
      <c r="W24" s="731">
        <v>21322</v>
      </c>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c r="AY24" s="350"/>
      <c r="AZ24" s="350"/>
      <c r="BA24" s="350"/>
      <c r="BB24" s="350"/>
      <c r="BC24" s="350"/>
      <c r="BD24" s="350"/>
      <c r="BE24" s="350"/>
      <c r="BF24" s="350"/>
      <c r="BG24" s="350"/>
      <c r="BH24" s="350"/>
      <c r="BI24" s="350"/>
    </row>
    <row r="25" spans="1:61">
      <c r="A25" s="367" t="s">
        <v>182</v>
      </c>
      <c r="B25" s="363"/>
      <c r="C25" s="363"/>
      <c r="D25" s="363"/>
      <c r="E25" s="363"/>
      <c r="F25" s="363"/>
      <c r="G25" s="363"/>
      <c r="H25" s="363"/>
      <c r="I25" s="363"/>
      <c r="J25" s="363"/>
      <c r="K25" s="363"/>
      <c r="L25" s="363"/>
      <c r="M25" s="363"/>
      <c r="N25" s="363"/>
      <c r="O25" s="363"/>
      <c r="P25" s="363">
        <v>2938</v>
      </c>
      <c r="Q25" s="363">
        <v>3026</v>
      </c>
      <c r="R25" s="363">
        <v>2831</v>
      </c>
      <c r="S25" s="363">
        <v>2862</v>
      </c>
      <c r="T25" s="363">
        <v>2909</v>
      </c>
      <c r="U25" s="731">
        <v>2491</v>
      </c>
      <c r="V25" s="731">
        <v>2245</v>
      </c>
      <c r="W25" s="731">
        <v>1896</v>
      </c>
      <c r="X25" s="350"/>
      <c r="Y25" s="350"/>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c r="AV25" s="350"/>
      <c r="AW25" s="350"/>
      <c r="AX25" s="350"/>
      <c r="AY25" s="350"/>
      <c r="AZ25" s="350"/>
      <c r="BA25" s="350"/>
      <c r="BB25" s="350"/>
      <c r="BC25" s="350"/>
      <c r="BD25" s="350"/>
      <c r="BE25" s="350"/>
      <c r="BF25" s="350"/>
      <c r="BG25" s="350"/>
      <c r="BH25" s="350"/>
      <c r="BI25" s="350"/>
    </row>
    <row r="26" spans="1:61">
      <c r="A26" s="367" t="s">
        <v>183</v>
      </c>
      <c r="B26" s="363"/>
      <c r="C26" s="363"/>
      <c r="D26" s="363"/>
      <c r="E26" s="363"/>
      <c r="F26" s="363"/>
      <c r="G26" s="363"/>
      <c r="H26" s="363"/>
      <c r="I26" s="363"/>
      <c r="J26" s="363"/>
      <c r="K26" s="363"/>
      <c r="L26" s="363"/>
      <c r="M26" s="363"/>
      <c r="N26" s="363"/>
      <c r="O26" s="363"/>
      <c r="P26" s="363">
        <v>39778</v>
      </c>
      <c r="Q26" s="363">
        <v>40766</v>
      </c>
      <c r="R26" s="363">
        <v>39466</v>
      </c>
      <c r="S26" s="363">
        <v>37359</v>
      </c>
      <c r="T26" s="363">
        <v>35477</v>
      </c>
      <c r="U26" s="731">
        <v>26463</v>
      </c>
      <c r="V26" s="731">
        <v>26415</v>
      </c>
      <c r="W26" s="731">
        <v>24743</v>
      </c>
      <c r="X26" s="350"/>
      <c r="Y26" s="350"/>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c r="AV26" s="350"/>
      <c r="AW26" s="350"/>
      <c r="AX26" s="350"/>
      <c r="AY26" s="350"/>
      <c r="AZ26" s="350"/>
      <c r="BA26" s="350"/>
      <c r="BB26" s="350"/>
      <c r="BC26" s="350"/>
      <c r="BD26" s="350"/>
      <c r="BE26" s="350"/>
      <c r="BF26" s="350"/>
      <c r="BG26" s="350"/>
      <c r="BH26" s="350"/>
      <c r="BI26" s="350"/>
    </row>
    <row r="27" spans="1:61">
      <c r="A27" s="367" t="s">
        <v>184</v>
      </c>
      <c r="B27" s="363"/>
      <c r="C27" s="363"/>
      <c r="D27" s="363"/>
      <c r="E27" s="363"/>
      <c r="F27" s="363"/>
      <c r="G27" s="363"/>
      <c r="H27" s="363"/>
      <c r="I27" s="363"/>
      <c r="J27" s="363"/>
      <c r="K27" s="363"/>
      <c r="L27" s="363"/>
      <c r="M27" s="363"/>
      <c r="N27" s="363"/>
      <c r="O27" s="363"/>
      <c r="P27" s="363">
        <v>11200</v>
      </c>
      <c r="Q27" s="363">
        <v>12109</v>
      </c>
      <c r="R27" s="363">
        <v>11103</v>
      </c>
      <c r="S27" s="363">
        <v>10963</v>
      </c>
      <c r="T27" s="363">
        <v>10633</v>
      </c>
      <c r="U27" s="731">
        <v>8805</v>
      </c>
      <c r="V27" s="731">
        <v>8276</v>
      </c>
      <c r="W27" s="731">
        <v>7541</v>
      </c>
      <c r="X27" s="350"/>
      <c r="Y27" s="350"/>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c r="AV27" s="350"/>
      <c r="AW27" s="350"/>
      <c r="AX27" s="350"/>
      <c r="AY27" s="350"/>
      <c r="AZ27" s="350"/>
      <c r="BA27" s="350"/>
      <c r="BB27" s="350"/>
      <c r="BC27" s="350"/>
      <c r="BD27" s="350"/>
      <c r="BE27" s="350"/>
      <c r="BF27" s="350"/>
      <c r="BG27" s="350"/>
      <c r="BH27" s="350"/>
      <c r="BI27" s="350"/>
    </row>
    <row r="28" spans="1:61">
      <c r="A28" s="881" t="s">
        <v>787</v>
      </c>
      <c r="B28" s="881"/>
      <c r="C28" s="881"/>
      <c r="D28" s="881"/>
      <c r="E28" s="881"/>
      <c r="F28" s="881"/>
      <c r="G28" s="881"/>
      <c r="H28" s="881"/>
      <c r="I28" s="881"/>
      <c r="J28" s="881"/>
      <c r="K28" s="881"/>
      <c r="L28" s="881"/>
      <c r="M28" s="881"/>
      <c r="N28" s="881"/>
      <c r="O28" s="881"/>
      <c r="P28" s="881"/>
      <c r="Q28" s="881"/>
      <c r="R28" s="881"/>
      <c r="S28" s="881"/>
      <c r="T28" s="881"/>
      <c r="U28" s="881"/>
      <c r="V28" s="881"/>
      <c r="W28" s="736"/>
      <c r="X28" s="350"/>
      <c r="Y28" s="350"/>
      <c r="Z28" s="350"/>
      <c r="AA28" s="350"/>
      <c r="AB28" s="350"/>
      <c r="AC28" s="350"/>
      <c r="AD28" s="350"/>
      <c r="AE28" s="350"/>
      <c r="AF28" s="350"/>
      <c r="AG28" s="350"/>
      <c r="AH28" s="350"/>
      <c r="AI28" s="350"/>
      <c r="AJ28" s="350"/>
      <c r="AK28" s="350"/>
      <c r="AL28" s="350"/>
      <c r="AM28" s="350"/>
      <c r="AN28" s="350"/>
      <c r="AO28" s="350"/>
      <c r="AP28" s="350"/>
      <c r="AQ28" s="350"/>
      <c r="AR28" s="350"/>
      <c r="AS28" s="350"/>
      <c r="AT28" s="350"/>
      <c r="AU28" s="350"/>
      <c r="AV28" s="350"/>
      <c r="AW28" s="350"/>
      <c r="AX28" s="350"/>
      <c r="AY28" s="350"/>
      <c r="AZ28" s="350"/>
      <c r="BA28" s="350"/>
      <c r="BB28" s="350"/>
      <c r="BC28" s="350"/>
      <c r="BD28" s="350"/>
      <c r="BE28" s="350"/>
      <c r="BF28" s="350"/>
      <c r="BG28" s="350"/>
      <c r="BH28" s="350"/>
      <c r="BI28" s="350"/>
    </row>
    <row r="29" spans="1:61" s="672" customFormat="1">
      <c r="A29" s="881"/>
      <c r="B29" s="881"/>
      <c r="C29" s="881"/>
      <c r="D29" s="881"/>
      <c r="E29" s="881"/>
      <c r="F29" s="881"/>
      <c r="G29" s="881"/>
      <c r="H29" s="881"/>
      <c r="I29" s="881"/>
      <c r="J29" s="881"/>
      <c r="K29" s="881"/>
      <c r="L29" s="881"/>
      <c r="M29" s="881"/>
      <c r="N29" s="881"/>
      <c r="O29" s="881"/>
      <c r="P29" s="881"/>
      <c r="Q29" s="881"/>
      <c r="R29" s="881"/>
      <c r="S29" s="881"/>
      <c r="T29" s="881"/>
      <c r="U29" s="881"/>
      <c r="V29" s="881"/>
      <c r="W29" s="736"/>
    </row>
    <row r="30" spans="1:61">
      <c r="A30" s="369" t="s">
        <v>185</v>
      </c>
      <c r="B30" s="368"/>
      <c r="C30" s="368"/>
      <c r="D30" s="368"/>
      <c r="E30" s="368"/>
      <c r="F30" s="368"/>
      <c r="G30" s="368"/>
      <c r="H30" s="368"/>
      <c r="I30" s="368"/>
      <c r="J30" s="368"/>
      <c r="K30" s="368"/>
      <c r="L30" s="368"/>
      <c r="M30" s="368"/>
      <c r="N30" s="368"/>
      <c r="O30" s="368"/>
      <c r="P30" s="368"/>
      <c r="Q30" s="368"/>
      <c r="R30" s="368"/>
      <c r="S30" s="368"/>
      <c r="T30" s="368"/>
      <c r="U30" s="350"/>
      <c r="V30" s="350"/>
      <c r="W30" s="736"/>
      <c r="X30" s="350"/>
      <c r="Y30" s="350"/>
      <c r="Z30" s="350"/>
      <c r="AA30" s="350"/>
      <c r="AB30" s="350"/>
      <c r="AC30" s="350"/>
      <c r="AD30" s="350"/>
      <c r="AE30" s="350"/>
      <c r="AF30" s="350"/>
      <c r="AG30" s="350"/>
      <c r="AH30" s="350"/>
      <c r="AI30" s="350"/>
      <c r="AJ30" s="350"/>
      <c r="AK30" s="350"/>
      <c r="AL30" s="350"/>
      <c r="AM30" s="350"/>
      <c r="AN30" s="350"/>
      <c r="AO30" s="350"/>
      <c r="AP30" s="350"/>
      <c r="AQ30" s="350"/>
      <c r="AR30" s="350"/>
      <c r="AS30" s="350"/>
      <c r="AT30" s="350"/>
      <c r="AU30" s="350"/>
      <c r="AV30" s="350"/>
      <c r="AW30" s="350"/>
      <c r="AX30" s="350"/>
      <c r="AY30" s="350"/>
      <c r="AZ30" s="350"/>
      <c r="BA30" s="350"/>
      <c r="BB30" s="350"/>
      <c r="BC30" s="350"/>
      <c r="BD30" s="350"/>
      <c r="BE30" s="350"/>
      <c r="BF30" s="350"/>
      <c r="BG30" s="350"/>
      <c r="BH30" s="350"/>
      <c r="BI30" s="350"/>
    </row>
    <row r="31" spans="1:61">
      <c r="A31" s="35" t="s">
        <v>788</v>
      </c>
      <c r="B31" s="350"/>
      <c r="C31" s="350"/>
      <c r="D31" s="350"/>
      <c r="E31" s="350"/>
      <c r="F31" s="350"/>
      <c r="G31" s="350"/>
      <c r="H31" s="350"/>
      <c r="I31" s="350"/>
      <c r="J31" s="350"/>
      <c r="K31" s="350"/>
      <c r="L31" s="350"/>
      <c r="M31" s="350"/>
      <c r="N31" s="350"/>
      <c r="O31" s="350"/>
      <c r="P31" s="350"/>
      <c r="Q31" s="350"/>
      <c r="R31" s="350"/>
      <c r="S31" s="350"/>
      <c r="T31" s="350"/>
      <c r="U31" s="350"/>
      <c r="V31" s="350"/>
      <c r="W31" s="736"/>
      <c r="X31" s="350"/>
      <c r="Y31" s="350"/>
      <c r="Z31" s="350"/>
      <c r="AA31" s="350"/>
      <c r="AB31" s="350"/>
      <c r="AC31" s="350"/>
      <c r="AD31" s="350"/>
      <c r="AE31" s="350"/>
      <c r="AF31" s="350"/>
      <c r="AG31" s="350"/>
      <c r="AH31" s="350"/>
      <c r="AI31" s="350"/>
      <c r="AJ31" s="350"/>
      <c r="AK31" s="350"/>
      <c r="AL31" s="350"/>
      <c r="AM31" s="350"/>
      <c r="AN31" s="350"/>
      <c r="AO31" s="350"/>
      <c r="AP31" s="350"/>
      <c r="AQ31" s="350"/>
      <c r="AR31" s="350"/>
      <c r="AS31" s="350"/>
      <c r="AT31" s="350"/>
      <c r="AU31" s="350"/>
      <c r="AV31" s="350"/>
      <c r="AW31" s="350"/>
      <c r="AX31" s="350"/>
      <c r="AY31" s="350"/>
      <c r="AZ31" s="350"/>
      <c r="BA31" s="350"/>
      <c r="BB31" s="350"/>
      <c r="BC31" s="350"/>
      <c r="BD31" s="350"/>
      <c r="BE31" s="350"/>
      <c r="BF31" s="350"/>
      <c r="BG31" s="350"/>
      <c r="BH31" s="350"/>
      <c r="BI31" s="350"/>
    </row>
    <row r="32" spans="1:61">
      <c r="A32" s="35"/>
      <c r="B32" s="350"/>
      <c r="C32" s="350"/>
      <c r="D32" s="350"/>
      <c r="E32" s="350"/>
      <c r="F32" s="350"/>
      <c r="G32" s="350"/>
      <c r="H32" s="350"/>
      <c r="I32" s="350"/>
      <c r="J32" s="350"/>
      <c r="K32" s="350"/>
      <c r="L32" s="350"/>
      <c r="M32" s="350"/>
      <c r="N32" s="350"/>
      <c r="O32" s="350"/>
      <c r="P32" s="350"/>
      <c r="Q32" s="350"/>
      <c r="R32" s="350"/>
      <c r="S32" s="350"/>
      <c r="T32" s="350"/>
      <c r="U32" s="350"/>
      <c r="V32" s="350"/>
      <c r="W32" s="736"/>
      <c r="X32" s="350"/>
      <c r="Y32" s="350"/>
      <c r="Z32" s="350"/>
      <c r="AA32" s="350"/>
      <c r="AB32" s="350"/>
      <c r="AC32" s="350"/>
      <c r="AD32" s="350"/>
      <c r="AE32" s="350"/>
      <c r="AF32" s="350"/>
      <c r="AG32" s="350"/>
      <c r="AH32" s="350"/>
      <c r="AI32" s="350"/>
      <c r="AJ32" s="350"/>
      <c r="AK32" s="350"/>
      <c r="AL32" s="350"/>
      <c r="AM32" s="350"/>
      <c r="AN32" s="350"/>
      <c r="AO32" s="350"/>
      <c r="AP32" s="350"/>
      <c r="AQ32" s="350"/>
      <c r="AR32" s="350"/>
      <c r="AS32" s="350"/>
      <c r="AT32" s="350"/>
      <c r="AU32" s="350"/>
      <c r="AV32" s="350"/>
      <c r="AW32" s="350"/>
      <c r="AX32" s="350"/>
      <c r="AY32" s="350"/>
      <c r="AZ32" s="350"/>
      <c r="BA32" s="350"/>
      <c r="BB32" s="350"/>
      <c r="BC32" s="350"/>
      <c r="BD32" s="350"/>
      <c r="BE32" s="350"/>
      <c r="BF32" s="350"/>
      <c r="BG32" s="350"/>
      <c r="BH32" s="350"/>
      <c r="BI32" s="350"/>
    </row>
    <row r="33" spans="1:61">
      <c r="A33" s="331" t="s">
        <v>789</v>
      </c>
      <c r="B33" s="350"/>
      <c r="C33" s="350"/>
      <c r="D33" s="350"/>
      <c r="E33" s="350"/>
      <c r="F33" s="350"/>
      <c r="G33" s="350"/>
      <c r="H33" s="350"/>
      <c r="I33" s="350"/>
      <c r="J33" s="350"/>
      <c r="K33" s="350"/>
      <c r="L33" s="350"/>
      <c r="M33" s="350"/>
      <c r="N33" s="350"/>
      <c r="O33" s="350"/>
      <c r="P33" s="350"/>
      <c r="Q33" s="350"/>
      <c r="R33" s="350"/>
      <c r="S33" s="350"/>
      <c r="T33" s="350"/>
      <c r="U33" s="350"/>
      <c r="V33" s="350"/>
      <c r="W33" s="736"/>
      <c r="X33" s="350"/>
      <c r="Y33" s="350"/>
      <c r="Z33" s="350"/>
      <c r="AA33" s="350"/>
      <c r="AB33" s="350"/>
      <c r="AC33" s="350"/>
      <c r="AD33" s="350"/>
      <c r="AE33" s="350"/>
      <c r="AF33" s="350"/>
      <c r="AG33" s="350"/>
      <c r="AH33" s="350"/>
      <c r="AI33" s="350"/>
      <c r="AJ33" s="350"/>
      <c r="AK33" s="350"/>
      <c r="AL33" s="350"/>
      <c r="AM33" s="350"/>
      <c r="AN33" s="350"/>
      <c r="AO33" s="350"/>
      <c r="AP33" s="350"/>
      <c r="AQ33" s="350"/>
      <c r="AR33" s="350"/>
      <c r="AS33" s="350"/>
      <c r="AT33" s="350"/>
      <c r="AU33" s="350"/>
      <c r="AV33" s="350"/>
      <c r="AW33" s="350"/>
      <c r="AX33" s="350"/>
      <c r="AY33" s="350"/>
      <c r="AZ33" s="350"/>
      <c r="BA33" s="350"/>
      <c r="BB33" s="350"/>
      <c r="BC33" s="350"/>
      <c r="BD33" s="350"/>
      <c r="BE33" s="350"/>
      <c r="BF33" s="350"/>
      <c r="BG33" s="350"/>
      <c r="BH33" s="350"/>
      <c r="BI33" s="350"/>
    </row>
    <row r="34" spans="1:61">
      <c r="A34" s="223"/>
      <c r="B34" s="223"/>
      <c r="C34" s="223"/>
      <c r="D34" s="223"/>
      <c r="E34" s="223"/>
      <c r="F34" s="223"/>
      <c r="G34" s="223"/>
      <c r="H34" s="223"/>
      <c r="I34" s="223"/>
      <c r="J34" s="223"/>
      <c r="K34" s="223"/>
      <c r="L34" s="223"/>
      <c r="M34" s="223"/>
      <c r="N34" s="223"/>
      <c r="O34" s="223"/>
      <c r="P34" s="223">
        <v>2015</v>
      </c>
      <c r="Q34" s="223">
        <f t="shared" ref="Q34:T34" si="1">P34+1</f>
        <v>2016</v>
      </c>
      <c r="R34" s="223">
        <f t="shared" si="1"/>
        <v>2017</v>
      </c>
      <c r="S34" s="223">
        <f t="shared" si="1"/>
        <v>2018</v>
      </c>
      <c r="T34" s="223">
        <f t="shared" si="1"/>
        <v>2019</v>
      </c>
      <c r="U34" s="730">
        <f t="shared" ref="U34" si="2">T34+1</f>
        <v>2020</v>
      </c>
      <c r="V34" s="730">
        <f t="shared" ref="V34" si="3">U34+1</f>
        <v>2021</v>
      </c>
      <c r="W34" s="730">
        <f t="shared" ref="W34" si="4">V34+1</f>
        <v>2022</v>
      </c>
      <c r="X34" s="350"/>
      <c r="Y34" s="350"/>
      <c r="Z34" s="350"/>
      <c r="AA34" s="350"/>
      <c r="AB34" s="350"/>
      <c r="AC34" s="350"/>
      <c r="AD34" s="350"/>
      <c r="AE34" s="350"/>
      <c r="AF34" s="350"/>
      <c r="AG34" s="350"/>
      <c r="AH34" s="350"/>
      <c r="AI34" s="350"/>
      <c r="AJ34" s="350"/>
      <c r="AK34" s="350"/>
      <c r="AL34" s="350"/>
      <c r="AM34" s="350"/>
      <c r="AN34" s="350"/>
      <c r="AO34" s="350"/>
      <c r="AP34" s="350"/>
      <c r="AQ34" s="350"/>
      <c r="AR34" s="350"/>
      <c r="AS34" s="350"/>
      <c r="AT34" s="350"/>
      <c r="AU34" s="350"/>
      <c r="AV34" s="350"/>
      <c r="AW34" s="350"/>
      <c r="AX34" s="350"/>
      <c r="AY34" s="350"/>
      <c r="AZ34" s="350"/>
      <c r="BA34" s="350"/>
      <c r="BB34" s="350"/>
      <c r="BC34" s="350"/>
      <c r="BD34" s="350"/>
      <c r="BE34" s="350"/>
      <c r="BF34" s="350"/>
      <c r="BG34" s="350"/>
      <c r="BH34" s="350"/>
      <c r="BI34" s="350"/>
    </row>
    <row r="35" spans="1:61">
      <c r="A35" s="370" t="s">
        <v>184</v>
      </c>
      <c r="B35" s="371"/>
      <c r="C35" s="371"/>
      <c r="D35" s="371"/>
      <c r="E35" s="371"/>
      <c r="F35" s="371"/>
      <c r="G35" s="371"/>
      <c r="H35" s="371"/>
      <c r="I35" s="371"/>
      <c r="J35" s="371"/>
      <c r="K35" s="371"/>
      <c r="L35" s="371"/>
      <c r="M35" s="371"/>
      <c r="N35" s="371"/>
      <c r="O35" s="371"/>
      <c r="P35" s="371">
        <f t="shared" ref="P35:W35" si="5">P27/P$26</f>
        <v>0.28156267283422998</v>
      </c>
      <c r="Q35" s="371">
        <f t="shared" si="5"/>
        <v>0.29703674630819799</v>
      </c>
      <c r="R35" s="371">
        <f t="shared" si="5"/>
        <v>0.28133076572239396</v>
      </c>
      <c r="S35" s="371">
        <f t="shared" si="5"/>
        <v>0.29345003881260207</v>
      </c>
      <c r="T35" s="371">
        <f t="shared" si="5"/>
        <v>0.29971530850973871</v>
      </c>
      <c r="U35" s="732">
        <f t="shared" si="5"/>
        <v>0.33272871556512867</v>
      </c>
      <c r="V35" s="732">
        <f t="shared" si="5"/>
        <v>0.31330683323869013</v>
      </c>
      <c r="W35" s="732">
        <f t="shared" si="5"/>
        <v>0.30477306713009739</v>
      </c>
      <c r="X35" s="350"/>
      <c r="Y35" s="350"/>
      <c r="Z35" s="350"/>
      <c r="AA35" s="350"/>
      <c r="AB35" s="350"/>
      <c r="AC35" s="350"/>
      <c r="AD35" s="350"/>
      <c r="AE35" s="350"/>
      <c r="AF35" s="350"/>
      <c r="AG35" s="350"/>
      <c r="AH35" s="350"/>
      <c r="AI35" s="350"/>
      <c r="AJ35" s="350"/>
      <c r="AK35" s="350"/>
      <c r="AL35" s="350"/>
      <c r="AM35" s="350"/>
      <c r="AN35" s="350"/>
      <c r="AO35" s="350"/>
      <c r="AP35" s="350"/>
      <c r="AQ35" s="350"/>
      <c r="AR35" s="350"/>
      <c r="AS35" s="350"/>
      <c r="AT35" s="350"/>
      <c r="AU35" s="350"/>
      <c r="AV35" s="350"/>
      <c r="AW35" s="350"/>
      <c r="AX35" s="350"/>
      <c r="AY35" s="350"/>
      <c r="AZ35" s="350"/>
      <c r="BA35" s="350"/>
      <c r="BB35" s="350"/>
      <c r="BC35" s="350"/>
      <c r="BD35" s="350"/>
      <c r="BE35" s="350"/>
      <c r="BF35" s="350"/>
      <c r="BG35" s="350"/>
      <c r="BH35" s="350"/>
      <c r="BI35" s="350"/>
    </row>
    <row r="36" spans="1:61">
      <c r="A36" s="370" t="s">
        <v>186</v>
      </c>
      <c r="B36" s="371"/>
      <c r="C36" s="371"/>
      <c r="D36" s="371"/>
      <c r="E36" s="371"/>
      <c r="F36" s="371"/>
      <c r="G36" s="371"/>
      <c r="H36" s="371"/>
      <c r="I36" s="371"/>
      <c r="J36" s="371"/>
      <c r="K36" s="371"/>
      <c r="L36" s="371"/>
      <c r="M36" s="371"/>
      <c r="N36" s="371"/>
      <c r="O36" s="371"/>
      <c r="P36" s="371">
        <f t="shared" ref="P36:W36" si="6">(P26-P27)/P$26</f>
        <v>0.71843732716577002</v>
      </c>
      <c r="Q36" s="371">
        <f t="shared" si="6"/>
        <v>0.70296325369180201</v>
      </c>
      <c r="R36" s="371">
        <f t="shared" si="6"/>
        <v>0.71866923427760609</v>
      </c>
      <c r="S36" s="371">
        <f t="shared" si="6"/>
        <v>0.70654996118739799</v>
      </c>
      <c r="T36" s="371">
        <f t="shared" si="6"/>
        <v>0.70028469149026129</v>
      </c>
      <c r="U36" s="732">
        <f t="shared" si="6"/>
        <v>0.66727128443487138</v>
      </c>
      <c r="V36" s="732">
        <f t="shared" si="6"/>
        <v>0.68669316676130987</v>
      </c>
      <c r="W36" s="732">
        <f t="shared" si="6"/>
        <v>0.69522693286990256</v>
      </c>
      <c r="X36" s="350"/>
      <c r="Y36" s="350"/>
      <c r="Z36" s="350"/>
      <c r="AA36" s="350"/>
      <c r="AB36" s="350"/>
      <c r="AC36" s="350"/>
      <c r="AD36" s="350"/>
      <c r="AE36" s="350"/>
      <c r="AF36" s="350"/>
      <c r="AG36" s="350"/>
      <c r="AH36" s="350"/>
      <c r="AI36" s="350"/>
      <c r="AJ36" s="350"/>
      <c r="AK36" s="350"/>
      <c r="AL36" s="350"/>
      <c r="AM36" s="350"/>
      <c r="AN36" s="350"/>
      <c r="AO36" s="350"/>
      <c r="AP36" s="350"/>
      <c r="AQ36" s="350"/>
      <c r="AR36" s="350"/>
      <c r="AS36" s="350"/>
      <c r="AT36" s="350"/>
      <c r="AU36" s="350"/>
      <c r="AV36" s="350"/>
      <c r="AW36" s="350"/>
      <c r="AX36" s="350"/>
      <c r="AY36" s="350"/>
      <c r="AZ36" s="350"/>
      <c r="BA36" s="350"/>
      <c r="BB36" s="350"/>
      <c r="BC36" s="350"/>
      <c r="BD36" s="350"/>
      <c r="BE36" s="350"/>
      <c r="BF36" s="350"/>
      <c r="BG36" s="350"/>
      <c r="BH36" s="350"/>
      <c r="BI36" s="350"/>
    </row>
    <row r="37" spans="1:61">
      <c r="A37" s="35"/>
      <c r="B37" s="350"/>
      <c r="C37" s="350"/>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350"/>
      <c r="AN37" s="350"/>
      <c r="AO37" s="350"/>
      <c r="AP37" s="350"/>
      <c r="AQ37" s="350"/>
      <c r="AR37" s="350"/>
      <c r="AS37" s="350"/>
      <c r="AT37" s="350"/>
      <c r="AU37" s="350"/>
      <c r="AV37" s="350"/>
      <c r="AW37" s="350"/>
      <c r="AX37" s="350"/>
      <c r="AY37" s="350"/>
      <c r="AZ37" s="350"/>
      <c r="BA37" s="350"/>
      <c r="BB37" s="350"/>
      <c r="BC37" s="350"/>
      <c r="BD37" s="350"/>
      <c r="BE37" s="350"/>
      <c r="BF37" s="350"/>
      <c r="BG37" s="350"/>
      <c r="BH37" s="350"/>
      <c r="BI37" s="350"/>
    </row>
    <row r="38" spans="1:61">
      <c r="A38" s="331" t="s">
        <v>925</v>
      </c>
      <c r="B38" s="350"/>
      <c r="C38" s="350"/>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350"/>
      <c r="AJ38" s="350"/>
      <c r="AK38" s="350"/>
      <c r="AL38" s="350"/>
      <c r="AM38" s="350"/>
      <c r="AN38" s="350"/>
      <c r="AO38" s="350"/>
      <c r="AP38" s="350"/>
      <c r="AQ38" s="350"/>
      <c r="AR38" s="350"/>
      <c r="AS38" s="350"/>
      <c r="AT38" s="350"/>
      <c r="AU38" s="350"/>
      <c r="AV38" s="350"/>
      <c r="AW38" s="350"/>
      <c r="AX38" s="350"/>
      <c r="AY38" s="350"/>
      <c r="AZ38" s="350"/>
      <c r="BA38" s="350"/>
      <c r="BB38" s="350"/>
      <c r="BC38" s="350"/>
      <c r="BD38" s="350"/>
      <c r="BE38" s="350"/>
      <c r="BF38" s="350"/>
      <c r="BG38" s="350"/>
      <c r="BH38" s="350"/>
      <c r="BI38" s="350"/>
    </row>
    <row r="39" spans="1:61" s="515" customFormat="1">
      <c r="A39" s="878"/>
      <c r="B39" s="663" t="s">
        <v>309</v>
      </c>
      <c r="C39" s="649"/>
      <c r="D39" s="649"/>
      <c r="E39" s="649"/>
      <c r="F39" s="649"/>
      <c r="G39" s="649"/>
      <c r="H39" s="649"/>
      <c r="I39" s="649"/>
      <c r="J39" s="649"/>
      <c r="K39" s="649"/>
      <c r="L39" s="649"/>
      <c r="M39" s="649"/>
      <c r="N39" s="649"/>
      <c r="O39" s="649"/>
      <c r="P39" s="652"/>
      <c r="Q39" s="6"/>
      <c r="R39" s="6"/>
      <c r="S39" s="6"/>
      <c r="T39" s="6">
        <v>2020</v>
      </c>
      <c r="U39" s="6">
        <f>T39+1</f>
        <v>2021</v>
      </c>
      <c r="V39" s="6">
        <f t="shared" ref="V39:BI39" si="7">U39+1</f>
        <v>2022</v>
      </c>
      <c r="W39" s="6">
        <f t="shared" si="7"/>
        <v>2023</v>
      </c>
      <c r="X39" s="6">
        <f t="shared" si="7"/>
        <v>2024</v>
      </c>
      <c r="Y39" s="6">
        <f t="shared" si="7"/>
        <v>2025</v>
      </c>
      <c r="Z39" s="6">
        <f t="shared" si="7"/>
        <v>2026</v>
      </c>
      <c r="AA39" s="6">
        <f t="shared" si="7"/>
        <v>2027</v>
      </c>
      <c r="AB39" s="6">
        <f t="shared" si="7"/>
        <v>2028</v>
      </c>
      <c r="AC39" s="6">
        <f t="shared" si="7"/>
        <v>2029</v>
      </c>
      <c r="AD39" s="6">
        <f t="shared" si="7"/>
        <v>2030</v>
      </c>
      <c r="AE39" s="6">
        <f t="shared" si="7"/>
        <v>2031</v>
      </c>
      <c r="AF39" s="6">
        <f t="shared" si="7"/>
        <v>2032</v>
      </c>
      <c r="AG39" s="6">
        <f t="shared" si="7"/>
        <v>2033</v>
      </c>
      <c r="AH39" s="6">
        <f t="shared" si="7"/>
        <v>2034</v>
      </c>
      <c r="AI39" s="6">
        <f t="shared" si="7"/>
        <v>2035</v>
      </c>
      <c r="AJ39" s="6">
        <f t="shared" si="7"/>
        <v>2036</v>
      </c>
      <c r="AK39" s="6">
        <f t="shared" si="7"/>
        <v>2037</v>
      </c>
      <c r="AL39" s="6">
        <f t="shared" si="7"/>
        <v>2038</v>
      </c>
      <c r="AM39" s="6">
        <f t="shared" si="7"/>
        <v>2039</v>
      </c>
      <c r="AN39" s="6">
        <f t="shared" si="7"/>
        <v>2040</v>
      </c>
      <c r="AO39" s="6">
        <f t="shared" si="7"/>
        <v>2041</v>
      </c>
      <c r="AP39" s="6">
        <f t="shared" si="7"/>
        <v>2042</v>
      </c>
      <c r="AQ39" s="6">
        <f t="shared" si="7"/>
        <v>2043</v>
      </c>
      <c r="AR39" s="6">
        <f t="shared" si="7"/>
        <v>2044</v>
      </c>
      <c r="AS39" s="6">
        <f t="shared" si="7"/>
        <v>2045</v>
      </c>
      <c r="AT39" s="6">
        <f t="shared" si="7"/>
        <v>2046</v>
      </c>
      <c r="AU39" s="6">
        <f t="shared" si="7"/>
        <v>2047</v>
      </c>
      <c r="AV39" s="6">
        <f t="shared" si="7"/>
        <v>2048</v>
      </c>
      <c r="AW39" s="6">
        <f t="shared" si="7"/>
        <v>2049</v>
      </c>
      <c r="AX39" s="6">
        <f t="shared" si="7"/>
        <v>2050</v>
      </c>
      <c r="AY39" s="6">
        <f t="shared" si="7"/>
        <v>2051</v>
      </c>
      <c r="AZ39" s="6">
        <f t="shared" si="7"/>
        <v>2052</v>
      </c>
      <c r="BA39" s="6">
        <f t="shared" si="7"/>
        <v>2053</v>
      </c>
      <c r="BB39" s="6">
        <f t="shared" si="7"/>
        <v>2054</v>
      </c>
      <c r="BC39" s="6">
        <f t="shared" si="7"/>
        <v>2055</v>
      </c>
      <c r="BD39" s="6">
        <f t="shared" si="7"/>
        <v>2056</v>
      </c>
      <c r="BE39" s="6">
        <f t="shared" si="7"/>
        <v>2057</v>
      </c>
      <c r="BF39" s="6">
        <f t="shared" si="7"/>
        <v>2058</v>
      </c>
      <c r="BG39" s="6">
        <f t="shared" si="7"/>
        <v>2059</v>
      </c>
      <c r="BH39" s="6">
        <f t="shared" si="7"/>
        <v>2060</v>
      </c>
      <c r="BI39" s="6">
        <f t="shared" si="7"/>
        <v>2061</v>
      </c>
    </row>
    <row r="40" spans="1:61">
      <c r="A40" s="879"/>
      <c r="B40" s="664" t="s">
        <v>510</v>
      </c>
      <c r="C40" s="659"/>
      <c r="D40" s="659"/>
      <c r="E40" s="659"/>
      <c r="F40" s="659"/>
      <c r="G40" s="659"/>
      <c r="H40" s="659"/>
      <c r="I40" s="659"/>
      <c r="J40" s="659"/>
      <c r="K40" s="659"/>
      <c r="L40" s="659"/>
      <c r="M40" s="659"/>
      <c r="N40" s="659"/>
      <c r="O40" s="659"/>
      <c r="P40" s="665"/>
      <c r="Q40" s="661">
        <f>DATE(2016,12,31)</f>
        <v>42735</v>
      </c>
      <c r="R40" s="661">
        <f>DATE(YEAR(Q40+1),12,31)</f>
        <v>43100</v>
      </c>
      <c r="S40" s="661">
        <f t="shared" ref="S40" si="8">DATE(YEAR(R40+1),12,31)</f>
        <v>43465</v>
      </c>
      <c r="T40" s="661">
        <f>DATE(YEAR(S40+1),12,31)</f>
        <v>43830</v>
      </c>
      <c r="U40" s="661">
        <f t="shared" ref="U40:BI40" si="9">DATE(YEAR(T40+1),12,31)</f>
        <v>44196</v>
      </c>
      <c r="V40" s="661">
        <f t="shared" si="9"/>
        <v>44561</v>
      </c>
      <c r="W40" s="661">
        <f t="shared" si="9"/>
        <v>44926</v>
      </c>
      <c r="X40" s="661">
        <f t="shared" si="9"/>
        <v>45291</v>
      </c>
      <c r="Y40" s="661">
        <f t="shared" si="9"/>
        <v>45657</v>
      </c>
      <c r="Z40" s="661">
        <f t="shared" si="9"/>
        <v>46022</v>
      </c>
      <c r="AA40" s="661">
        <f t="shared" si="9"/>
        <v>46387</v>
      </c>
      <c r="AB40" s="661">
        <f t="shared" si="9"/>
        <v>46752</v>
      </c>
      <c r="AC40" s="661">
        <f t="shared" si="9"/>
        <v>47118</v>
      </c>
      <c r="AD40" s="661">
        <f t="shared" si="9"/>
        <v>47483</v>
      </c>
      <c r="AE40" s="661">
        <f t="shared" si="9"/>
        <v>47848</v>
      </c>
      <c r="AF40" s="661">
        <f t="shared" si="9"/>
        <v>48213</v>
      </c>
      <c r="AG40" s="661">
        <f t="shared" si="9"/>
        <v>48579</v>
      </c>
      <c r="AH40" s="661">
        <f t="shared" si="9"/>
        <v>48944</v>
      </c>
      <c r="AI40" s="661">
        <f t="shared" si="9"/>
        <v>49309</v>
      </c>
      <c r="AJ40" s="661">
        <f t="shared" si="9"/>
        <v>49674</v>
      </c>
      <c r="AK40" s="661">
        <f t="shared" si="9"/>
        <v>50040</v>
      </c>
      <c r="AL40" s="661">
        <f t="shared" si="9"/>
        <v>50405</v>
      </c>
      <c r="AM40" s="661">
        <f t="shared" si="9"/>
        <v>50770</v>
      </c>
      <c r="AN40" s="661">
        <f t="shared" si="9"/>
        <v>51135</v>
      </c>
      <c r="AO40" s="661">
        <f t="shared" si="9"/>
        <v>51501</v>
      </c>
      <c r="AP40" s="661">
        <f t="shared" si="9"/>
        <v>51866</v>
      </c>
      <c r="AQ40" s="661">
        <f t="shared" si="9"/>
        <v>52231</v>
      </c>
      <c r="AR40" s="661">
        <f t="shared" si="9"/>
        <v>52596</v>
      </c>
      <c r="AS40" s="661">
        <f t="shared" si="9"/>
        <v>52962</v>
      </c>
      <c r="AT40" s="661">
        <f t="shared" si="9"/>
        <v>53327</v>
      </c>
      <c r="AU40" s="661">
        <f t="shared" si="9"/>
        <v>53692</v>
      </c>
      <c r="AV40" s="661">
        <f t="shared" si="9"/>
        <v>54057</v>
      </c>
      <c r="AW40" s="661">
        <f t="shared" si="9"/>
        <v>54423</v>
      </c>
      <c r="AX40" s="661">
        <f t="shared" si="9"/>
        <v>54788</v>
      </c>
      <c r="AY40" s="661">
        <f t="shared" si="9"/>
        <v>55153</v>
      </c>
      <c r="AZ40" s="661">
        <f t="shared" si="9"/>
        <v>55518</v>
      </c>
      <c r="BA40" s="661">
        <f t="shared" si="9"/>
        <v>55884</v>
      </c>
      <c r="BB40" s="661">
        <f t="shared" si="9"/>
        <v>56249</v>
      </c>
      <c r="BC40" s="661">
        <f t="shared" si="9"/>
        <v>56614</v>
      </c>
      <c r="BD40" s="661">
        <f t="shared" si="9"/>
        <v>56979</v>
      </c>
      <c r="BE40" s="661">
        <f t="shared" si="9"/>
        <v>57345</v>
      </c>
      <c r="BF40" s="661">
        <f t="shared" si="9"/>
        <v>57710</v>
      </c>
      <c r="BG40" s="661">
        <f t="shared" si="9"/>
        <v>58075</v>
      </c>
      <c r="BH40" s="661">
        <f t="shared" si="9"/>
        <v>58440</v>
      </c>
      <c r="BI40" s="661">
        <f t="shared" si="9"/>
        <v>58806</v>
      </c>
    </row>
    <row r="41" spans="1:61">
      <c r="A41" s="349" t="s">
        <v>187</v>
      </c>
      <c r="B41" s="334"/>
      <c r="C41" s="334"/>
      <c r="D41" s="334"/>
      <c r="E41" s="334"/>
      <c r="F41" s="334"/>
      <c r="G41" s="334"/>
      <c r="H41" s="334"/>
      <c r="I41" s="334"/>
      <c r="J41" s="334"/>
      <c r="K41" s="334"/>
      <c r="L41" s="334"/>
      <c r="M41" s="334"/>
      <c r="N41" s="334"/>
      <c r="O41" s="334"/>
      <c r="P41" s="334"/>
      <c r="Q41" s="334"/>
      <c r="R41" s="334"/>
      <c r="S41" s="343">
        <f>S6</f>
        <v>2392125</v>
      </c>
      <c r="T41" s="344">
        <f>S41*Indeksacja!T$61</f>
        <v>2535306.4687662493</v>
      </c>
      <c r="U41" s="335">
        <f>T41*Indeksacja!U$61</f>
        <v>2579239.0183992209</v>
      </c>
      <c r="V41" s="335">
        <f>U41*Indeksacja!V$61</f>
        <v>2861129.351967752</v>
      </c>
      <c r="W41" s="335">
        <f>V41*Indeksacja!W$61</f>
        <v>3420317.3091917932</v>
      </c>
      <c r="X41" s="335">
        <f>W41*Indeksacja!X$61</f>
        <v>3816350.8810614371</v>
      </c>
      <c r="Y41" s="335">
        <f>X41*Indeksacja!Y$61</f>
        <v>3920953.911065442</v>
      </c>
      <c r="Z41" s="335">
        <f>Y41*Indeksacja!Z$61</f>
        <v>4047435.0057772794</v>
      </c>
      <c r="AA41" s="335">
        <f>Z41*Indeksacja!AA$61</f>
        <v>4168604.4693578705</v>
      </c>
      <c r="AB41" s="335">
        <f>AA41*Indeksacja!AB$61</f>
        <v>4271787.9339320464</v>
      </c>
      <c r="AC41" s="335">
        <f>AB41*Indeksacja!AC$61</f>
        <v>4377896.4371035751</v>
      </c>
      <c r="AD41" s="335">
        <f>AC41*Indeksacja!AD$61</f>
        <v>4483783.6633222094</v>
      </c>
      <c r="AE41" s="335">
        <f>AD41*Indeksacja!AE$61</f>
        <v>4589232.6902014697</v>
      </c>
      <c r="AF41" s="335">
        <f>AE41*Indeksacja!AF$61</f>
        <v>4688191.1340186829</v>
      </c>
      <c r="AG41" s="335">
        <f>AF41*Indeksacja!AG$61</f>
        <v>4783296.9679245828</v>
      </c>
      <c r="AH41" s="335">
        <f>AG41*Indeksacja!AH$61</f>
        <v>4881688.2904891213</v>
      </c>
      <c r="AI41" s="335">
        <f>AH41*Indeksacja!AI$61</f>
        <v>4982920.3312262762</v>
      </c>
      <c r="AJ41" s="335">
        <f>AI41*Indeksacja!AJ$61</f>
        <v>5079046.1551781315</v>
      </c>
      <c r="AK41" s="335">
        <f>AJ41*Indeksacja!AK$61</f>
        <v>5173658.7171631074</v>
      </c>
      <c r="AL41" s="335">
        <f>AK41*Indeksacja!AL$61</f>
        <v>5266260.366810143</v>
      </c>
      <c r="AM41" s="335">
        <f>AL41*Indeksacja!AM$61</f>
        <v>5356886.4847324751</v>
      </c>
      <c r="AN41" s="335">
        <f>AM41*Indeksacja!AN$61</f>
        <v>5440960.0307586771</v>
      </c>
      <c r="AO41" s="335">
        <f>AN41*Indeksacja!AO$61</f>
        <v>5518022.8391610635</v>
      </c>
      <c r="AP41" s="335">
        <f>AO41*Indeksacja!AP$61</f>
        <v>5592127.6383939935</v>
      </c>
      <c r="AQ41" s="335">
        <f>AP41*Indeksacja!AQ$61</f>
        <v>5658580.1715426082</v>
      </c>
      <c r="AR41" s="335">
        <f>AQ41*Indeksacja!AR$61</f>
        <v>5721317.9208615012</v>
      </c>
      <c r="AS41" s="335">
        <f>AR41*Indeksacja!AS$61</f>
        <v>5785083.6879786737</v>
      </c>
      <c r="AT41" s="335">
        <f>AS41*Indeksacja!AT$61</f>
        <v>5850239.2525926</v>
      </c>
      <c r="AU41" s="335">
        <f>AT41*Indeksacja!AU$61</f>
        <v>5916441.3661208833</v>
      </c>
      <c r="AV41" s="335">
        <f>AU41*Indeksacja!AV$61</f>
        <v>5983701.159193607</v>
      </c>
      <c r="AW41" s="335">
        <f>AV41*Indeksacja!AW$61</f>
        <v>6052099.2047218485</v>
      </c>
      <c r="AX41" s="335">
        <f>AW41*Indeksacja!AX$61</f>
        <v>6116507.9852019846</v>
      </c>
      <c r="AY41" s="335">
        <f>AX41*Indeksacja!AY$61</f>
        <v>6182053.3772762856</v>
      </c>
      <c r="AZ41" s="335">
        <f>AY41*Indeksacja!AZ$61</f>
        <v>6248801.4201493263</v>
      </c>
      <c r="BA41" s="335">
        <f>AZ41*Indeksacja!BA$61</f>
        <v>6317238.7969467146</v>
      </c>
      <c r="BB41" s="335">
        <f>BA41*Indeksacja!BB$61</f>
        <v>6392102.1134441076</v>
      </c>
      <c r="BC41" s="335">
        <f>BB41*Indeksacja!BC$61</f>
        <v>6468507.4315608218</v>
      </c>
      <c r="BD41" s="335">
        <f>BC41*Indeksacja!BD$61</f>
        <v>6546561.2158135585</v>
      </c>
      <c r="BE41" s="335">
        <f>BD41*Indeksacja!BE$61</f>
        <v>6626292.6188062551</v>
      </c>
      <c r="BF41" s="335">
        <f>BE41*Indeksacja!BF$61</f>
        <v>6713084.6406958336</v>
      </c>
      <c r="BG41" s="335">
        <f>BF41*Indeksacja!BG$61</f>
        <v>6802246.6617090441</v>
      </c>
      <c r="BH41" s="335">
        <f>BG41*Indeksacja!BH$61</f>
        <v>6893393.2109038783</v>
      </c>
      <c r="BI41" s="335">
        <f>BH41*Indeksacja!BI$61</f>
        <v>6991722.1935059717</v>
      </c>
    </row>
    <row r="42" spans="1:61">
      <c r="A42" s="349" t="s">
        <v>188</v>
      </c>
      <c r="B42" s="334"/>
      <c r="C42" s="334"/>
      <c r="D42" s="334"/>
      <c r="E42" s="334"/>
      <c r="F42" s="334"/>
      <c r="G42" s="334"/>
      <c r="H42" s="334"/>
      <c r="I42" s="334"/>
      <c r="J42" s="334"/>
      <c r="K42" s="334"/>
      <c r="L42" s="334"/>
      <c r="M42" s="334"/>
      <c r="N42" s="334"/>
      <c r="O42" s="334"/>
      <c r="P42" s="334"/>
      <c r="Q42" s="334"/>
      <c r="R42" s="334"/>
      <c r="S42" s="343">
        <f>S7</f>
        <v>3309300</v>
      </c>
      <c r="T42" s="344">
        <f>S42*Indeksacja!T$61</f>
        <v>3507379.2954332023</v>
      </c>
      <c r="U42" s="335">
        <f>T42*Indeksacja!U$61</f>
        <v>3568156.2140726517</v>
      </c>
      <c r="V42" s="335">
        <f>U42*Indeksacja!V$61</f>
        <v>3958127.3405306502</v>
      </c>
      <c r="W42" s="335">
        <f>V42*Indeksacja!W$61</f>
        <v>4731715.9727474116</v>
      </c>
      <c r="X42" s="335">
        <f>W42*Indeksacja!X$61</f>
        <v>5279594.4905456919</v>
      </c>
      <c r="Y42" s="335">
        <f>X42*Indeksacja!Y$61</f>
        <v>5424303.8210331267</v>
      </c>
      <c r="Z42" s="335">
        <f>Y42*Indeksacja!Z$61</f>
        <v>5599279.579712077</v>
      </c>
      <c r="AA42" s="335">
        <f>Z42*Indeksacja!AA$61</f>
        <v>5766907.1517776046</v>
      </c>
      <c r="AB42" s="335">
        <f>AA42*Indeksacja!AB$61</f>
        <v>5909652.6351095038</v>
      </c>
      <c r="AC42" s="335">
        <f>AB42*Indeksacja!AC$61</f>
        <v>6056444.6587477075</v>
      </c>
      <c r="AD42" s="335">
        <f>AC42*Indeksacja!AD$61</f>
        <v>6202930.564678763</v>
      </c>
      <c r="AE42" s="335">
        <f>AD42*Indeksacja!AE$61</f>
        <v>6348810.259365093</v>
      </c>
      <c r="AF42" s="335">
        <f>AE42*Indeksacja!AF$61</f>
        <v>6485710.7884445945</v>
      </c>
      <c r="AG42" s="335">
        <f>AF42*Indeksacja!AG$61</f>
        <v>6617281.5617715716</v>
      </c>
      <c r="AH42" s="335">
        <f>AG42*Indeksacja!AH$61</f>
        <v>6753397.5271842601</v>
      </c>
      <c r="AI42" s="335">
        <f>AH42*Indeksacja!AI$61</f>
        <v>6893443.3828195082</v>
      </c>
      <c r="AJ42" s="335">
        <f>AI42*Indeksacja!AJ$61</f>
        <v>7026425.2249907469</v>
      </c>
      <c r="AK42" s="335">
        <f>AJ42*Indeksacja!AK$61</f>
        <v>7157313.5988745866</v>
      </c>
      <c r="AL42" s="335">
        <f>AK42*Indeksacja!AL$61</f>
        <v>7285420.0478172358</v>
      </c>
      <c r="AM42" s="335">
        <f>AL42*Indeksacja!AM$61</f>
        <v>7410793.5178659894</v>
      </c>
      <c r="AN42" s="335">
        <f>AM42*Indeksacja!AN$61</f>
        <v>7527102.0660666525</v>
      </c>
      <c r="AO42" s="335">
        <f>AN42*Indeksacja!AO$61</f>
        <v>7633711.859386825</v>
      </c>
      <c r="AP42" s="335">
        <f>AO42*Indeksacja!AP$61</f>
        <v>7736229.5004388327</v>
      </c>
      <c r="AQ42" s="335">
        <f>AP42*Indeksacja!AQ$61</f>
        <v>7828160.8869461063</v>
      </c>
      <c r="AR42" s="335">
        <f>AQ42*Indeksacja!AR$61</f>
        <v>7914953.1882769372</v>
      </c>
      <c r="AS42" s="335">
        <f>AR42*Indeksacja!AS$61</f>
        <v>8003167.6641596183</v>
      </c>
      <c r="AT42" s="335">
        <f>AS42*Indeksacja!AT$61</f>
        <v>8093304.8058126951</v>
      </c>
      <c r="AU42" s="335">
        <f>AT42*Indeksacja!AU$61</f>
        <v>8184889.7582291225</v>
      </c>
      <c r="AV42" s="335">
        <f>AU42*Indeksacja!AV$61</f>
        <v>8277937.9196820427</v>
      </c>
      <c r="AW42" s="335">
        <f>AV42*Indeksacja!AW$61</f>
        <v>8372560.755891108</v>
      </c>
      <c r="AX42" s="335">
        <f>AW42*Indeksacja!AX$61</f>
        <v>8461664.785673378</v>
      </c>
      <c r="AY42" s="335">
        <f>AX42*Indeksacja!AY$61</f>
        <v>8552341.2202206887</v>
      </c>
      <c r="AZ42" s="335">
        <f>AY42*Indeksacja!AZ$61</f>
        <v>8644681.4191148747</v>
      </c>
      <c r="BA42" s="335">
        <f>AZ42*Indeksacja!BA$61</f>
        <v>8739358.6667652261</v>
      </c>
      <c r="BB42" s="335">
        <f>BA42*Indeksacja!BB$61</f>
        <v>8842925.6514691282</v>
      </c>
      <c r="BC42" s="335">
        <f>BB42*Indeksacja!BC$61</f>
        <v>8948625.8633074071</v>
      </c>
      <c r="BD42" s="335">
        <f>BC42*Indeksacja!BD$61</f>
        <v>9056606.5868179183</v>
      </c>
      <c r="BE42" s="335">
        <f>BD42*Indeksacja!BE$61</f>
        <v>9166908.1521306559</v>
      </c>
      <c r="BF42" s="335">
        <f>BE42*Indeksacja!BF$61</f>
        <v>9286977.4787917547</v>
      </c>
      <c r="BG42" s="335">
        <f>BF42*Indeksacja!BG$61</f>
        <v>9410325.4961984605</v>
      </c>
      <c r="BH42" s="335">
        <f>BG42*Indeksacja!BH$61</f>
        <v>9536418.9383264706</v>
      </c>
      <c r="BI42" s="335">
        <f>BH42*Indeksacja!BI$61</f>
        <v>9672448.6617418882</v>
      </c>
    </row>
    <row r="43" spans="1:61">
      <c r="A43" s="349" t="s">
        <v>189</v>
      </c>
      <c r="B43" s="334"/>
      <c r="C43" s="334"/>
      <c r="D43" s="334"/>
      <c r="E43" s="334"/>
      <c r="F43" s="334"/>
      <c r="G43" s="334"/>
      <c r="H43" s="334"/>
      <c r="I43" s="334"/>
      <c r="J43" s="334"/>
      <c r="K43" s="334"/>
      <c r="L43" s="334"/>
      <c r="M43" s="334"/>
      <c r="N43" s="334"/>
      <c r="O43" s="334"/>
      <c r="P43" s="334"/>
      <c r="Q43" s="334"/>
      <c r="R43" s="334"/>
      <c r="S43" s="343">
        <f>S8</f>
        <v>48165</v>
      </c>
      <c r="T43" s="344">
        <f>S43*Indeksacja!T$61</f>
        <v>51047.932724304294</v>
      </c>
      <c r="U43" s="335">
        <f>T43*Indeksacja!U$61</f>
        <v>51932.50658774039</v>
      </c>
      <c r="V43" s="335">
        <f>U43*Indeksacja!V$61</f>
        <v>57608.316972368411</v>
      </c>
      <c r="W43" s="335">
        <f>V43*Indeksacja!W$61</f>
        <v>68867.464366294706</v>
      </c>
      <c r="X43" s="335">
        <f>W43*Indeksacja!X$61</f>
        <v>76841.528008078225</v>
      </c>
      <c r="Y43" s="335">
        <f>X43*Indeksacja!Y$61</f>
        <v>78947.690913504528</v>
      </c>
      <c r="Z43" s="335">
        <f>Y43*Indeksacja!Z$61</f>
        <v>81494.364656221005</v>
      </c>
      <c r="AA43" s="335">
        <f>Z43*Indeksacja!AA$61</f>
        <v>83934.089676175718</v>
      </c>
      <c r="AB43" s="335">
        <f>AA43*Indeksacja!AB$61</f>
        <v>86011.669890928359</v>
      </c>
      <c r="AC43" s="335">
        <f>AB43*Indeksacja!AC$61</f>
        <v>88148.145223637417</v>
      </c>
      <c r="AD43" s="335">
        <f>AC43*Indeksacja!AD$61</f>
        <v>90280.165185311867</v>
      </c>
      <c r="AE43" s="335">
        <f>AD43*Indeksacja!AE$61</f>
        <v>92403.362083316591</v>
      </c>
      <c r="AF43" s="335">
        <f>AE43*Indeksacja!AF$61</f>
        <v>94395.872276745475</v>
      </c>
      <c r="AG43" s="335">
        <f>AF43*Indeksacja!AG$61</f>
        <v>96310.81087321417</v>
      </c>
      <c r="AH43" s="335">
        <f>AG43*Indeksacja!AH$61</f>
        <v>98291.902183794096</v>
      </c>
      <c r="AI43" s="335">
        <f>AH43*Indeksacja!AI$61</f>
        <v>100330.19083597786</v>
      </c>
      <c r="AJ43" s="335">
        <f>AI43*Indeksacja!AJ$61</f>
        <v>102265.66674574056</v>
      </c>
      <c r="AK43" s="335">
        <f>AJ43*Indeksacja!AK$61</f>
        <v>104170.67340216793</v>
      </c>
      <c r="AL43" s="335">
        <f>AK43*Indeksacja!AL$61</f>
        <v>106035.19070592482</v>
      </c>
      <c r="AM43" s="335">
        <f>AL43*Indeksacja!AM$61</f>
        <v>107859.93103919718</v>
      </c>
      <c r="AN43" s="335">
        <f>AM43*Indeksacja!AN$61</f>
        <v>109552.73653404048</v>
      </c>
      <c r="AO43" s="335">
        <f>AN43*Indeksacja!AO$61</f>
        <v>111104.38210720282</v>
      </c>
      <c r="AP43" s="335">
        <f>AO43*Indeksacja!AP$61</f>
        <v>112596.46870596086</v>
      </c>
      <c r="AQ43" s="335">
        <f>AP43*Indeksacja!AQ$61</f>
        <v>113934.47832464843</v>
      </c>
      <c r="AR43" s="335">
        <f>AQ43*Indeksacja!AR$61</f>
        <v>115197.69144935743</v>
      </c>
      <c r="AS43" s="335">
        <f>AR43*Indeksacja!AS$61</f>
        <v>116481.60352468737</v>
      </c>
      <c r="AT43" s="335">
        <f>AS43*Indeksacja!AT$61</f>
        <v>117793.49891879501</v>
      </c>
      <c r="AU43" s="335">
        <f>AT43*Indeksacja!AU$61</f>
        <v>119126.46638416148</v>
      </c>
      <c r="AV43" s="335">
        <f>AU43*Indeksacja!AV$61</f>
        <v>120480.73003399071</v>
      </c>
      <c r="AW43" s="335">
        <f>AV43*Indeksacja!AW$61</f>
        <v>121857.91218913217</v>
      </c>
      <c r="AX43" s="335">
        <f>AW43*Indeksacja!AX$61</f>
        <v>123154.77122109152</v>
      </c>
      <c r="AY43" s="335">
        <f>AX43*Indeksacja!AY$61</f>
        <v>124474.51571991942</v>
      </c>
      <c r="AZ43" s="335">
        <f>AY43*Indeksacja!AZ$61</f>
        <v>125818.47537293924</v>
      </c>
      <c r="BA43" s="335">
        <f>AZ43*Indeksacja!BA$61</f>
        <v>127196.44945600186</v>
      </c>
      <c r="BB43" s="335">
        <f>BA43*Indeksacja!BB$61</f>
        <v>128703.80866135148</v>
      </c>
      <c r="BC43" s="335">
        <f>BB43*Indeksacja!BC$61</f>
        <v>130242.21578768958</v>
      </c>
      <c r="BD43" s="335">
        <f>BC43*Indeksacja!BD$61</f>
        <v>131813.81447861629</v>
      </c>
      <c r="BE43" s="335">
        <f>BD43*Indeksacja!BE$61</f>
        <v>133419.19171648775</v>
      </c>
      <c r="BF43" s="335">
        <f>BE43*Indeksacja!BF$61</f>
        <v>135166.73322636352</v>
      </c>
      <c r="BG43" s="335">
        <f>BF43*Indeksacja!BG$61</f>
        <v>136961.99423575946</v>
      </c>
      <c r="BH43" s="335">
        <f>BG43*Indeksacja!BH$61</f>
        <v>138797.21335765702</v>
      </c>
      <c r="BI43" s="335">
        <f>BH43*Indeksacja!BI$61</f>
        <v>140777.0494644783</v>
      </c>
    </row>
    <row r="44" spans="1:61">
      <c r="A44" s="349" t="s">
        <v>190</v>
      </c>
      <c r="B44" s="334"/>
      <c r="C44" s="334"/>
      <c r="D44" s="334"/>
      <c r="E44" s="334"/>
      <c r="F44" s="334"/>
      <c r="G44" s="334"/>
      <c r="H44" s="334"/>
      <c r="I44" s="334"/>
      <c r="J44" s="334"/>
      <c r="K44" s="334"/>
      <c r="L44" s="334"/>
      <c r="M44" s="334"/>
      <c r="N44" s="334"/>
      <c r="O44" s="334"/>
      <c r="P44" s="334"/>
      <c r="Q44" s="334"/>
      <c r="R44" s="334"/>
      <c r="S44" s="343">
        <f>S42*$S$35+S43*$S$36</f>
        <v>1005145.192323135</v>
      </c>
      <c r="T44" s="344">
        <f>S44*Indeksacja!T$61</f>
        <v>1065308.5052604442</v>
      </c>
      <c r="U44" s="335">
        <f>T44*Indeksacja!U$61</f>
        <v>1083768.4900229792</v>
      </c>
      <c r="V44" s="335">
        <f>U44*Indeksacja!V$61</f>
        <v>1202215.775824839</v>
      </c>
      <c r="W44" s="335">
        <f>V44*Indeksacja!W$61</f>
        <v>1437180.5401280171</v>
      </c>
      <c r="X44" s="335">
        <f>W44*Indeksacja!X$61</f>
        <v>1603589.5867971214</v>
      </c>
      <c r="Y44" s="335">
        <f>X44*Indeksacja!Y$61</f>
        <v>1647542.6547642881</v>
      </c>
      <c r="Z44" s="335">
        <f>Y44*Indeksacja!Z$61</f>
        <v>1700688.6501739637</v>
      </c>
      <c r="AA44" s="335">
        <f>Z44*Indeksacja!AA$61</f>
        <v>1751602.7553208121</v>
      </c>
      <c r="AB44" s="335">
        <f>AA44*Indeksacja!AB$61</f>
        <v>1794959.3371649787</v>
      </c>
      <c r="AC44" s="335">
        <f>AB44*Indeksacja!AC$61</f>
        <v>1839544.9887623936</v>
      </c>
      <c r="AD44" s="335">
        <f>AC44*Indeksacja!AD$61</f>
        <v>1884037.6621645328</v>
      </c>
      <c r="AE44" s="335">
        <f>AD44*Indeksacja!AE$61</f>
        <v>1928346.2089180851</v>
      </c>
      <c r="AF44" s="335">
        <f>AE44*Indeksacja!AF$61</f>
        <v>1969927.4824897633</v>
      </c>
      <c r="AG44" s="335">
        <f>AF44*Indeksacja!AG$61</f>
        <v>2009889.9308201801</v>
      </c>
      <c r="AH44" s="335">
        <f>AG44*Indeksacja!AH$61</f>
        <v>2051232.9061421475</v>
      </c>
      <c r="AI44" s="335">
        <f>AH44*Indeksacja!AI$61</f>
        <v>2093769.5206819442</v>
      </c>
      <c r="AJ44" s="335">
        <f>AI44*Indeksacja!AJ$61</f>
        <v>2134160.5578573877</v>
      </c>
      <c r="AK44" s="335">
        <f>AJ44*Indeksacja!AK$61</f>
        <v>2173915.7386328792</v>
      </c>
      <c r="AL44" s="335">
        <f>AK44*Indeksacja!AL$61</f>
        <v>2212825.9556758469</v>
      </c>
      <c r="AM44" s="335">
        <f>AL44*Indeksacja!AM$61</f>
        <v>2250906.0755393747</v>
      </c>
      <c r="AN44" s="335">
        <f>AM44*Indeksacja!AN$61</f>
        <v>2286232.875179776</v>
      </c>
      <c r="AO44" s="335">
        <f>AN44*Indeksacja!AO$61</f>
        <v>2318613.8382868785</v>
      </c>
      <c r="AP44" s="335">
        <f>AO44*Indeksacja!AP$61</f>
        <v>2349751.8777610073</v>
      </c>
      <c r="AQ44" s="335">
        <f>AP44*Indeksacja!AQ$61</f>
        <v>2377674.517343815</v>
      </c>
      <c r="AR44" s="335">
        <f>AQ44*Indeksacja!AR$61</f>
        <v>2404036.2447222169</v>
      </c>
      <c r="AS44" s="335">
        <f>AR44*Indeksacja!AS$61</f>
        <v>2430829.9341208152</v>
      </c>
      <c r="AT44" s="335">
        <f>AS44*Indeksacja!AT$61</f>
        <v>2458207.6014771564</v>
      </c>
      <c r="AU44" s="335">
        <f>AT44*Indeksacja!AU$61</f>
        <v>2486025.0174293262</v>
      </c>
      <c r="AV44" s="335">
        <f>AU44*Indeksacja!AV$61</f>
        <v>2514286.8589483509</v>
      </c>
      <c r="AW44" s="335">
        <f>AV44*Indeksacja!AW$61</f>
        <v>2543026.9819047228</v>
      </c>
      <c r="AX44" s="335">
        <f>AW44*Indeksacja!AX$61</f>
        <v>2570090.8586013857</v>
      </c>
      <c r="AY44" s="335">
        <f>AX44*Indeksacja!AY$61</f>
        <v>2597632.3272631061</v>
      </c>
      <c r="AZ44" s="335">
        <f>AY44*Indeksacja!AZ$61</f>
        <v>2625679.1368532469</v>
      </c>
      <c r="BA44" s="335">
        <f>AZ44*Indeksacja!BA$61</f>
        <v>2654435.7863858179</v>
      </c>
      <c r="BB44" s="335">
        <f>BA44*Indeksacja!BB$61</f>
        <v>2685892.5466549178</v>
      </c>
      <c r="BC44" s="335">
        <f>BB44*Indeksacja!BC$61</f>
        <v>2717997.2394167655</v>
      </c>
      <c r="BD44" s="335">
        <f>BC44*Indeksacja!BD$61</f>
        <v>2750794.5999160144</v>
      </c>
      <c r="BE44" s="335">
        <f>BD44*Indeksacja!BE$61</f>
        <v>2784296.8777632373</v>
      </c>
      <c r="BF44" s="335">
        <f>BE44*Indeksacja!BF$61</f>
        <v>2820765.9517181157</v>
      </c>
      <c r="BG44" s="335">
        <f>BF44*Indeksacja!BG$61</f>
        <v>2858230.8738100813</v>
      </c>
      <c r="BH44" s="335">
        <f>BG44*Indeksacja!BH$61</f>
        <v>2896529.6732959072</v>
      </c>
      <c r="BI44" s="335">
        <f>BH44*Indeksacja!BI$61</f>
        <v>2937846.4540362614</v>
      </c>
    </row>
    <row r="45" spans="1:61">
      <c r="A45" s="349" t="s">
        <v>790</v>
      </c>
      <c r="B45" s="334"/>
      <c r="C45" s="334"/>
      <c r="D45" s="334"/>
      <c r="E45" s="334"/>
      <c r="F45" s="334"/>
      <c r="G45" s="334"/>
      <c r="H45" s="334"/>
      <c r="I45" s="334"/>
      <c r="J45" s="334"/>
      <c r="K45" s="334"/>
      <c r="L45" s="334"/>
      <c r="M45" s="334"/>
      <c r="N45" s="334"/>
      <c r="O45" s="334"/>
      <c r="P45" s="334"/>
      <c r="Q45" s="334"/>
      <c r="R45" s="334"/>
      <c r="S45" s="343">
        <f>S9</f>
        <v>15385</v>
      </c>
      <c r="T45" s="344">
        <f>S45*Indeksacja!T$61</f>
        <v>16305.874493167685</v>
      </c>
      <c r="U45" s="335">
        <f>T45*Indeksacja!U$61</f>
        <v>16588.427568823543</v>
      </c>
      <c r="V45" s="335">
        <f>U45*Indeksacja!V$61</f>
        <v>18401.410912901236</v>
      </c>
      <c r="W45" s="335">
        <f>V45*Indeksacja!W$61</f>
        <v>21997.839494974443</v>
      </c>
      <c r="X45" s="335">
        <f>W45*Indeksacja!X$61</f>
        <v>24544.937369548083</v>
      </c>
      <c r="Y45" s="335">
        <f>X45*Indeksacja!Y$61</f>
        <v>25217.693858699618</v>
      </c>
      <c r="Z45" s="335">
        <f>Y45*Indeksacja!Z$61</f>
        <v>26031.159560592965</v>
      </c>
      <c r="AA45" s="335">
        <f>Z45*Indeksacja!AA$61</f>
        <v>26810.463400144577</v>
      </c>
      <c r="AB45" s="335">
        <f>AA45*Indeksacja!AB$61</f>
        <v>27474.089925712302</v>
      </c>
      <c r="AC45" s="335">
        <f>AB45*Indeksacja!AC$61</f>
        <v>28156.528895788684</v>
      </c>
      <c r="AD45" s="335">
        <f>AC45*Indeksacja!AD$61</f>
        <v>28837.544718696634</v>
      </c>
      <c r="AE45" s="335">
        <f>AD45*Indeksacja!AE$61</f>
        <v>29515.742253749115</v>
      </c>
      <c r="AF45" s="335">
        <f>AE45*Indeksacja!AF$61</f>
        <v>30152.195473429452</v>
      </c>
      <c r="AG45" s="335">
        <f>AF45*Indeksacja!AG$61</f>
        <v>30763.870555058664</v>
      </c>
      <c r="AH45" s="335">
        <f>AG45*Indeksacja!AH$61</f>
        <v>31396.676323007843</v>
      </c>
      <c r="AI45" s="335">
        <f>AH45*Indeksacja!AI$61</f>
        <v>32047.752226959823</v>
      </c>
      <c r="AJ45" s="335">
        <f>AI45*Indeksacja!AJ$61</f>
        <v>32665.987395063199</v>
      </c>
      <c r="AK45" s="335">
        <f>AJ45*Indeksacja!AK$61</f>
        <v>33274.489988422174</v>
      </c>
      <c r="AL45" s="335">
        <f>AK45*Indeksacja!AL$61</f>
        <v>33870.059358676503</v>
      </c>
      <c r="AM45" s="335">
        <f>AL45*Indeksacja!AM$61</f>
        <v>34452.923056951084</v>
      </c>
      <c r="AN45" s="335">
        <f>AM45*Indeksacja!AN$61</f>
        <v>34993.643757421632</v>
      </c>
      <c r="AO45" s="335">
        <f>AN45*Indeksacja!AO$61</f>
        <v>35489.2747580051</v>
      </c>
      <c r="AP45" s="335">
        <f>AO45*Indeksacja!AP$61</f>
        <v>35965.881263182979</v>
      </c>
      <c r="AQ45" s="335">
        <f>AP45*Indeksacja!AQ$61</f>
        <v>36393.27206529049</v>
      </c>
      <c r="AR45" s="335">
        <f>AQ45*Indeksacja!AR$61</f>
        <v>36796.771160559831</v>
      </c>
      <c r="AS45" s="335">
        <f>AR45*Indeksacja!AS$61</f>
        <v>37206.881972953706</v>
      </c>
      <c r="AT45" s="335">
        <f>AS45*Indeksacja!AT$61</f>
        <v>37625.93129587172</v>
      </c>
      <c r="AU45" s="335">
        <f>AT45*Indeksacja!AU$61</f>
        <v>38051.711519159646</v>
      </c>
      <c r="AV45" s="335">
        <f>AU45*Indeksacja!AV$61</f>
        <v>38484.294229688508</v>
      </c>
      <c r="AW45" s="335">
        <f>AV45*Indeksacja!AW$61</f>
        <v>38924.197633754768</v>
      </c>
      <c r="AX45" s="335">
        <f>AW45*Indeksacja!AX$61</f>
        <v>39338.443999511946</v>
      </c>
      <c r="AY45" s="335">
        <f>AX45*Indeksacja!AY$61</f>
        <v>39760.000505573764</v>
      </c>
      <c r="AZ45" s="335">
        <f>AY45*Indeksacja!AZ$61</f>
        <v>40189.291884411301</v>
      </c>
      <c r="BA45" s="335">
        <f>AZ45*Indeksacja!BA$61</f>
        <v>40629.448248325316</v>
      </c>
      <c r="BB45" s="335">
        <f>BA45*Indeksacja!BB$61</f>
        <v>41110.933172529694</v>
      </c>
      <c r="BC45" s="335">
        <f>BB45*Indeksacja!BC$61</f>
        <v>41602.335511130579</v>
      </c>
      <c r="BD45" s="335">
        <f>BC45*Indeksacja!BD$61</f>
        <v>42104.339992806228</v>
      </c>
      <c r="BE45" s="335">
        <f>BD45*Indeksacja!BE$61</f>
        <v>42617.134113114589</v>
      </c>
      <c r="BF45" s="335">
        <f>BE45*Indeksacja!BF$61</f>
        <v>43175.338745719979</v>
      </c>
      <c r="BG45" s="335">
        <f>BF45*Indeksacja!BG$61</f>
        <v>43748.786075306954</v>
      </c>
      <c r="BH45" s="335">
        <f>BG45*Indeksacja!BH$61</f>
        <v>44334.996937767122</v>
      </c>
      <c r="BI45" s="335">
        <f>BH45*Indeksacja!BI$61</f>
        <v>44967.401764995302</v>
      </c>
    </row>
    <row r="46" spans="1:61">
      <c r="A46" s="365" t="s">
        <v>792</v>
      </c>
      <c r="B46" s="67"/>
      <c r="C46" s="67"/>
      <c r="D46" s="67"/>
      <c r="E46" s="67"/>
      <c r="F46" s="67"/>
      <c r="G46" s="67"/>
      <c r="H46" s="67"/>
      <c r="I46" s="67"/>
      <c r="J46" s="67"/>
      <c r="K46" s="67"/>
      <c r="L46" s="67"/>
      <c r="M46" s="67"/>
      <c r="N46" s="67"/>
      <c r="O46" s="67"/>
      <c r="P46" s="67"/>
      <c r="Q46" s="67"/>
      <c r="R46" s="67"/>
      <c r="S46" s="67"/>
      <c r="T46" s="350"/>
      <c r="U46" s="350"/>
      <c r="V46" s="350"/>
      <c r="W46" s="350"/>
      <c r="X46" s="350"/>
      <c r="Y46" s="350"/>
      <c r="Z46" s="350"/>
      <c r="AA46" s="350"/>
      <c r="AB46" s="350"/>
      <c r="AC46" s="350"/>
      <c r="AD46" s="350"/>
      <c r="AE46" s="350"/>
      <c r="AF46" s="350"/>
      <c r="AG46" s="350"/>
      <c r="AH46" s="350"/>
      <c r="AI46" s="350"/>
      <c r="AJ46" s="350"/>
      <c r="AK46" s="350"/>
      <c r="AL46" s="350"/>
      <c r="AM46" s="350"/>
      <c r="AN46" s="350"/>
      <c r="AO46" s="350"/>
      <c r="AP46" s="350"/>
      <c r="AQ46" s="350"/>
      <c r="AR46" s="350"/>
      <c r="AS46" s="350"/>
      <c r="AT46" s="350"/>
      <c r="AU46" s="350"/>
      <c r="AV46" s="350"/>
      <c r="AW46" s="350"/>
      <c r="AX46" s="350"/>
      <c r="AY46" s="350"/>
      <c r="AZ46" s="350"/>
      <c r="BA46" s="350"/>
      <c r="BB46" s="350"/>
      <c r="BC46" s="350"/>
      <c r="BD46" s="350"/>
      <c r="BE46" s="350"/>
      <c r="BF46" s="350"/>
      <c r="BG46" s="350"/>
      <c r="BH46" s="350"/>
      <c r="BI46" s="350"/>
    </row>
    <row r="47" spans="1:61">
      <c r="A47" s="366" t="s">
        <v>791</v>
      </c>
      <c r="B47" s="144"/>
      <c r="C47" s="144"/>
      <c r="D47" s="144"/>
      <c r="E47" s="144"/>
      <c r="F47" s="144"/>
      <c r="G47" s="144"/>
      <c r="H47" s="144"/>
      <c r="I47" s="144"/>
      <c r="J47" s="144"/>
      <c r="K47" s="144"/>
      <c r="L47" s="144"/>
      <c r="M47" s="144"/>
      <c r="N47" s="144"/>
      <c r="O47" s="144"/>
      <c r="P47" s="144"/>
      <c r="Q47" s="144"/>
      <c r="R47" s="144"/>
      <c r="S47" s="146"/>
      <c r="T47" s="350"/>
      <c r="U47" s="350"/>
      <c r="V47" s="350"/>
      <c r="W47" s="350"/>
      <c r="X47" s="350"/>
      <c r="Y47" s="350"/>
      <c r="Z47" s="350"/>
      <c r="AA47" s="350"/>
      <c r="AB47" s="350"/>
      <c r="AC47" s="350"/>
      <c r="AD47" s="350"/>
      <c r="AE47" s="350"/>
      <c r="AF47" s="350"/>
      <c r="AG47" s="350"/>
      <c r="AH47" s="350"/>
      <c r="AI47" s="350"/>
      <c r="AJ47" s="350"/>
      <c r="AK47" s="350"/>
      <c r="AL47" s="350"/>
      <c r="AM47" s="350"/>
      <c r="AN47" s="350"/>
      <c r="AO47" s="350"/>
      <c r="AP47" s="350"/>
      <c r="AQ47" s="350"/>
      <c r="AR47" s="350"/>
      <c r="AS47" s="350"/>
      <c r="AT47" s="350"/>
      <c r="AU47" s="350"/>
      <c r="AV47" s="350"/>
      <c r="AW47" s="350"/>
      <c r="AX47" s="350"/>
      <c r="AY47" s="350"/>
      <c r="AZ47" s="350"/>
      <c r="BA47" s="350"/>
      <c r="BB47" s="350"/>
      <c r="BC47" s="350"/>
      <c r="BD47" s="350"/>
      <c r="BE47" s="350"/>
      <c r="BF47" s="350"/>
      <c r="BG47" s="350"/>
      <c r="BH47" s="350"/>
      <c r="BI47" s="350"/>
    </row>
    <row r="48" spans="1:61"/>
  </sheetData>
  <mergeCells count="5">
    <mergeCell ref="A39:A40"/>
    <mergeCell ref="A12:V13"/>
    <mergeCell ref="A14:V17"/>
    <mergeCell ref="A18:V19"/>
    <mergeCell ref="A28:V29"/>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9"/>
  <sheetViews>
    <sheetView workbookViewId="0">
      <pane xSplit="1" ySplit="2" topLeftCell="B42" activePane="bottomRight" state="frozen"/>
      <selection pane="topRight" activeCell="B1" sqref="B1"/>
      <selection pane="bottomLeft" activeCell="A3" sqref="A3"/>
      <selection pane="bottomRight" activeCell="B42" sqref="B42"/>
    </sheetView>
  </sheetViews>
  <sheetFormatPr defaultColWidth="0" defaultRowHeight="15" zeroHeight="1" outlineLevelRow="1"/>
  <cols>
    <col min="1" max="1" width="36" customWidth="1"/>
    <col min="2" max="17" width="20.140625" customWidth="1"/>
    <col min="18" max="18" width="9.140625" customWidth="1"/>
    <col min="19" max="16384" width="9.140625" hidden="1"/>
  </cols>
  <sheetData>
    <row r="1" spans="1:17" ht="21">
      <c r="A1" s="4" t="s">
        <v>318</v>
      </c>
      <c r="B1" s="88"/>
      <c r="C1" s="5"/>
      <c r="D1" s="88"/>
      <c r="E1" s="5"/>
      <c r="F1" s="5"/>
      <c r="G1" s="5"/>
      <c r="H1" s="5"/>
      <c r="I1" s="5"/>
      <c r="J1" s="5"/>
      <c r="K1" s="5"/>
      <c r="L1" s="5"/>
      <c r="M1" s="5"/>
      <c r="N1" s="5"/>
      <c r="O1" s="5"/>
      <c r="P1" s="5"/>
      <c r="Q1" s="5"/>
    </row>
    <row r="2" spans="1:17">
      <c r="A2" s="471" t="str">
        <f>Indeksacja!$A$2</f>
        <v>Dla roku bazowego 2024 właściwe do zastosowania w analizie są wartości kosztów jednostkowych określone według poziomu cenowego z końca roku poprzedniego, tzn. 2023.</v>
      </c>
      <c r="B2" s="486"/>
      <c r="C2" s="486"/>
      <c r="D2" s="486"/>
      <c r="E2" s="486"/>
      <c r="F2" s="486"/>
      <c r="G2" s="486"/>
      <c r="H2" s="486"/>
      <c r="I2" s="486"/>
      <c r="J2" s="486"/>
      <c r="K2" s="486"/>
    </row>
    <row r="3" spans="1:17" hidden="1" outlineLevel="1"/>
    <row r="4" spans="1:17" hidden="1" outlineLevel="1">
      <c r="A4" s="487" t="s">
        <v>297</v>
      </c>
    </row>
    <row r="5" spans="1:17" ht="15" hidden="1" customHeight="1" outlineLevel="1">
      <c r="A5" s="883" t="s">
        <v>267</v>
      </c>
      <c r="B5" s="890" t="s">
        <v>289</v>
      </c>
      <c r="C5" s="891"/>
      <c r="D5" s="891"/>
      <c r="E5" s="891"/>
      <c r="F5" s="891"/>
      <c r="G5" s="891"/>
      <c r="H5" s="891"/>
      <c r="I5" s="891"/>
      <c r="J5" s="892"/>
      <c r="K5" s="888" t="s">
        <v>290</v>
      </c>
      <c r="L5" s="896"/>
      <c r="M5" s="896"/>
      <c r="N5" s="896"/>
      <c r="O5" s="896"/>
      <c r="P5" s="896"/>
      <c r="Q5" s="889"/>
    </row>
    <row r="6" spans="1:17" hidden="1" outlineLevel="1">
      <c r="A6" s="884"/>
      <c r="B6" s="886" t="s">
        <v>65</v>
      </c>
      <c r="C6" s="886"/>
      <c r="D6" s="886"/>
      <c r="E6" s="886"/>
      <c r="F6" s="886" t="s">
        <v>268</v>
      </c>
      <c r="G6" s="886"/>
      <c r="H6" s="890" t="s">
        <v>282</v>
      </c>
      <c r="I6" s="893"/>
      <c r="J6" s="894"/>
      <c r="K6" s="895" t="s">
        <v>65</v>
      </c>
      <c r="L6" s="895"/>
      <c r="M6" s="895"/>
      <c r="N6" s="888" t="s">
        <v>286</v>
      </c>
      <c r="O6" s="889"/>
      <c r="P6" s="496" t="s">
        <v>287</v>
      </c>
      <c r="Q6" s="496" t="s">
        <v>288</v>
      </c>
    </row>
    <row r="7" spans="1:17" ht="30" hidden="1" outlineLevel="1">
      <c r="A7" s="884"/>
      <c r="B7" s="489" t="s">
        <v>71</v>
      </c>
      <c r="C7" s="489" t="s">
        <v>269</v>
      </c>
      <c r="D7" s="496" t="s">
        <v>176</v>
      </c>
      <c r="E7" s="489" t="s">
        <v>270</v>
      </c>
      <c r="F7" s="496" t="s">
        <v>34</v>
      </c>
      <c r="G7" s="496" t="s">
        <v>278</v>
      </c>
      <c r="H7" s="496" t="s">
        <v>279</v>
      </c>
      <c r="I7" s="496" t="s">
        <v>280</v>
      </c>
      <c r="J7" s="496" t="s">
        <v>281</v>
      </c>
      <c r="K7" s="496" t="s">
        <v>283</v>
      </c>
      <c r="L7" s="496" t="s">
        <v>294</v>
      </c>
      <c r="M7" s="496" t="s">
        <v>284</v>
      </c>
      <c r="N7" s="496" t="s">
        <v>35</v>
      </c>
      <c r="O7" s="496" t="s">
        <v>285</v>
      </c>
      <c r="P7" s="490" t="s">
        <v>271</v>
      </c>
      <c r="Q7" s="490" t="s">
        <v>271</v>
      </c>
    </row>
    <row r="8" spans="1:17" hidden="1" outlineLevel="1">
      <c r="A8" s="885"/>
      <c r="B8" s="495" t="s">
        <v>277</v>
      </c>
      <c r="C8" s="495" t="s">
        <v>277</v>
      </c>
      <c r="D8" s="495" t="s">
        <v>277</v>
      </c>
      <c r="E8" s="495" t="s">
        <v>277</v>
      </c>
      <c r="F8" s="495" t="s">
        <v>277</v>
      </c>
      <c r="G8" s="495" t="s">
        <v>277</v>
      </c>
      <c r="H8" s="495" t="s">
        <v>277</v>
      </c>
      <c r="I8" s="495" t="s">
        <v>277</v>
      </c>
      <c r="J8" s="495" t="s">
        <v>277</v>
      </c>
      <c r="K8" s="495" t="s">
        <v>291</v>
      </c>
      <c r="L8" s="495" t="s">
        <v>291</v>
      </c>
      <c r="M8" s="495" t="s">
        <v>292</v>
      </c>
      <c r="N8" s="495" t="s">
        <v>292</v>
      </c>
      <c r="O8" s="495" t="s">
        <v>292</v>
      </c>
      <c r="P8" s="495" t="s">
        <v>292</v>
      </c>
      <c r="Q8" s="495" t="s">
        <v>292</v>
      </c>
    </row>
    <row r="9" spans="1:17" hidden="1" outlineLevel="1">
      <c r="A9" s="488" t="s">
        <v>181</v>
      </c>
      <c r="B9" s="501">
        <v>4.9419822166640834</v>
      </c>
      <c r="C9" s="502">
        <v>0.91129571221427275</v>
      </c>
      <c r="D9" s="502">
        <v>0.91129571221427275</v>
      </c>
      <c r="E9" s="502">
        <v>14.47269999543076</v>
      </c>
      <c r="F9" s="502">
        <v>2.1410502010970887</v>
      </c>
      <c r="G9" s="502">
        <v>2.1410502010970887</v>
      </c>
      <c r="H9" s="502">
        <v>4.0730766818275831E-2</v>
      </c>
      <c r="I9" s="502">
        <v>1.021760001493933E-2</v>
      </c>
      <c r="J9" s="502">
        <v>1.2479100878744587E-3</v>
      </c>
      <c r="K9" s="502">
        <v>7.932595648434862E-2</v>
      </c>
      <c r="L9" s="502">
        <v>7.932595648434862E-2</v>
      </c>
      <c r="M9" s="502">
        <v>0.89371661550491233</v>
      </c>
      <c r="N9" s="502">
        <v>0.15113454904459742</v>
      </c>
      <c r="O9" s="502">
        <v>0.15113454904459742</v>
      </c>
      <c r="P9" s="502">
        <v>0.11535738857750023</v>
      </c>
      <c r="Q9" s="501">
        <f>P9*$A$19</f>
        <v>4.8450103202550096E-2</v>
      </c>
    </row>
    <row r="10" spans="1:17" hidden="1" outlineLevel="1">
      <c r="A10" s="488" t="s">
        <v>272</v>
      </c>
      <c r="B10" s="502">
        <v>0.6948296174621873</v>
      </c>
      <c r="C10" s="502">
        <v>0.70325056873360614</v>
      </c>
      <c r="D10" s="502">
        <v>0.67185670812936982</v>
      </c>
      <c r="E10" s="502">
        <v>0.58383306123067225</v>
      </c>
      <c r="F10" s="502">
        <v>2.2762887491827293E-3</v>
      </c>
      <c r="G10" s="502">
        <v>0.51840382713146216</v>
      </c>
      <c r="H10" s="502">
        <v>0.29624625848464697</v>
      </c>
      <c r="I10" s="502">
        <v>0.12744987874161517</v>
      </c>
      <c r="J10" s="502">
        <v>5.6342421124195824E-2</v>
      </c>
      <c r="K10" s="502">
        <v>1.095954560884822</v>
      </c>
      <c r="L10" s="502">
        <v>2.9752619988899052</v>
      </c>
      <c r="M10" s="502">
        <v>0.51379741859586103</v>
      </c>
      <c r="N10" s="502">
        <v>6.8372435423247064E-4</v>
      </c>
      <c r="O10" s="502">
        <v>0.73001691039391259</v>
      </c>
      <c r="P10" s="502">
        <v>0.66213948180495119</v>
      </c>
      <c r="Q10" s="501">
        <f t="shared" ref="Q10:Q14" si="0">P10*$A$19</f>
        <v>0.27809858235807949</v>
      </c>
    </row>
    <row r="11" spans="1:17" hidden="1" outlineLevel="1">
      <c r="A11" s="494" t="s">
        <v>276</v>
      </c>
      <c r="B11" s="502">
        <v>1.074564833882901</v>
      </c>
      <c r="C11" s="502">
        <v>0.50112560640457515</v>
      </c>
      <c r="D11" s="502">
        <v>0.47881482559613525</v>
      </c>
      <c r="E11" s="502">
        <v>0.92913133495158962</v>
      </c>
      <c r="F11" s="502">
        <v>0</v>
      </c>
      <c r="G11" s="502">
        <v>0.20736850703369594</v>
      </c>
      <c r="H11" s="502">
        <v>2.3862381184328489</v>
      </c>
      <c r="I11" s="502">
        <v>1.845148152089197</v>
      </c>
      <c r="J11" s="502">
        <v>2.2392096028822412</v>
      </c>
      <c r="K11" s="502">
        <v>2.5726314931590144</v>
      </c>
      <c r="L11" s="502">
        <v>3.0881555087856718</v>
      </c>
      <c r="M11" s="502">
        <v>0.40664724516556633</v>
      </c>
      <c r="N11" s="502">
        <v>0</v>
      </c>
      <c r="O11" s="502">
        <v>0.24718297545859325</v>
      </c>
      <c r="P11" s="502">
        <v>0.26534732008404416</v>
      </c>
      <c r="Q11" s="501">
        <f t="shared" si="0"/>
        <v>0.11144587443529855</v>
      </c>
    </row>
    <row r="12" spans="1:17" hidden="1" outlineLevel="1">
      <c r="A12" s="488" t="s">
        <v>273</v>
      </c>
      <c r="B12" s="502">
        <v>0.56918181438634607</v>
      </c>
      <c r="C12" s="502">
        <v>0.37761345249124445</v>
      </c>
      <c r="D12" s="502">
        <v>0.26718686788399409</v>
      </c>
      <c r="E12" s="502">
        <v>6.5602490563912657</v>
      </c>
      <c r="F12" s="502">
        <v>0.29181552346534906</v>
      </c>
      <c r="G12" s="502">
        <v>0.4377898715204494</v>
      </c>
      <c r="H12" s="502">
        <v>0.4561956149202997</v>
      </c>
      <c r="I12" s="502">
        <v>0.11443988625653438</v>
      </c>
      <c r="J12" s="502">
        <v>1.3976930816035949E-2</v>
      </c>
      <c r="K12" s="502">
        <v>1.3154764476764522</v>
      </c>
      <c r="L12" s="502">
        <v>1.3154764476764522</v>
      </c>
      <c r="M12" s="502">
        <v>0.49696367470730402</v>
      </c>
      <c r="N12" s="502">
        <v>0.17710776924607807</v>
      </c>
      <c r="O12" s="502">
        <v>0.32685423148583637</v>
      </c>
      <c r="P12" s="502">
        <v>0</v>
      </c>
      <c r="Q12" s="501">
        <f t="shared" si="0"/>
        <v>0</v>
      </c>
    </row>
    <row r="13" spans="1:17" hidden="1" outlineLevel="1">
      <c r="A13" s="494" t="s">
        <v>275</v>
      </c>
      <c r="B13" s="502">
        <v>4.50319525944058</v>
      </c>
      <c r="C13" s="502">
        <v>0.95146081667004812</v>
      </c>
      <c r="D13" s="502">
        <v>0.95146081667004812</v>
      </c>
      <c r="E13" s="502">
        <v>0</v>
      </c>
      <c r="F13" s="502">
        <v>0</v>
      </c>
      <c r="G13" s="502">
        <v>0</v>
      </c>
      <c r="H13" s="502">
        <v>0</v>
      </c>
      <c r="I13" s="502">
        <v>0</v>
      </c>
      <c r="J13" s="502">
        <v>0</v>
      </c>
      <c r="K13" s="502">
        <v>12.188190327182532</v>
      </c>
      <c r="L13" s="502">
        <v>12.188190327182532</v>
      </c>
      <c r="M13" s="502">
        <v>0.94483132190982111</v>
      </c>
      <c r="N13" s="502">
        <v>0</v>
      </c>
      <c r="O13" s="502">
        <v>0</v>
      </c>
      <c r="P13" s="502">
        <v>0</v>
      </c>
      <c r="Q13" s="501">
        <f t="shared" si="0"/>
        <v>0</v>
      </c>
    </row>
    <row r="14" spans="1:17" ht="27.75" hidden="1" outlineLevel="1">
      <c r="A14" s="497" t="s">
        <v>793</v>
      </c>
      <c r="B14" s="502">
        <v>0.30823030857525413</v>
      </c>
      <c r="C14" s="502">
        <v>0.14690254386575113</v>
      </c>
      <c r="D14" s="502">
        <v>0.12918751929667222</v>
      </c>
      <c r="E14" s="502">
        <v>0.40992942802594101</v>
      </c>
      <c r="F14" s="502">
        <v>2.007187142762008</v>
      </c>
      <c r="G14" s="502">
        <v>5.6126515900388606E-2</v>
      </c>
      <c r="H14" s="502">
        <v>1.0581206512020671</v>
      </c>
      <c r="I14" s="502">
        <v>0.70471158791067645</v>
      </c>
      <c r="J14" s="502">
        <v>0.90828714303759472</v>
      </c>
      <c r="K14" s="502">
        <v>0.76176908710897995</v>
      </c>
      <c r="L14" s="502">
        <v>0.69520291274240953</v>
      </c>
      <c r="M14" s="502">
        <v>0.14832114604146268</v>
      </c>
      <c r="N14" s="502">
        <v>0.21334009996827469</v>
      </c>
      <c r="O14" s="502">
        <v>6.7610382086649684E-2</v>
      </c>
      <c r="P14" s="502">
        <v>9.0830883907448617E-2</v>
      </c>
      <c r="Q14" s="501">
        <f t="shared" si="0"/>
        <v>3.814897124112842E-2</v>
      </c>
    </row>
    <row r="15" spans="1:17" hidden="1" outlineLevel="1">
      <c r="A15" t="s">
        <v>794</v>
      </c>
    </row>
    <row r="16" spans="1:17" hidden="1" outlineLevel="1">
      <c r="A16" s="498" t="s">
        <v>795</v>
      </c>
    </row>
    <row r="17" spans="1:15" hidden="1" outlineLevel="1"/>
    <row r="18" spans="1:15" hidden="1" outlineLevel="1">
      <c r="A18" s="488" t="s">
        <v>274</v>
      </c>
    </row>
    <row r="19" spans="1:15" hidden="1" outlineLevel="1">
      <c r="A19" s="492">
        <v>0.42</v>
      </c>
    </row>
    <row r="20" spans="1:15" hidden="1" outlineLevel="1">
      <c r="A20" s="491" t="s">
        <v>796</v>
      </c>
    </row>
    <row r="21" spans="1:15" hidden="1" outlineLevel="1"/>
    <row r="22" spans="1:15" hidden="1" outlineLevel="1">
      <c r="A22" s="471" t="s">
        <v>125</v>
      </c>
      <c r="B22" s="145">
        <f>1/100</f>
        <v>0.01</v>
      </c>
      <c r="C22" s="471"/>
      <c r="D22" s="471"/>
      <c r="E22" s="471"/>
      <c r="F22" s="471"/>
      <c r="G22" s="471"/>
      <c r="H22" s="471"/>
      <c r="I22" s="471"/>
      <c r="J22" s="471"/>
      <c r="K22" s="471"/>
      <c r="L22" s="471"/>
      <c r="M22" s="471"/>
      <c r="N22" s="471"/>
      <c r="O22" s="471"/>
    </row>
    <row r="23" spans="1:15" hidden="1" outlineLevel="1">
      <c r="A23" s="471"/>
      <c r="B23" s="471"/>
      <c r="C23" s="471"/>
      <c r="D23" s="471"/>
      <c r="E23" s="471"/>
      <c r="F23" s="471"/>
      <c r="G23" s="471"/>
      <c r="H23" s="471"/>
      <c r="I23" s="471"/>
      <c r="J23" s="471"/>
      <c r="K23" s="471"/>
      <c r="L23" s="471"/>
      <c r="M23" s="471"/>
      <c r="N23" s="471"/>
      <c r="O23" s="471"/>
    </row>
    <row r="24" spans="1:15" hidden="1" outlineLevel="1">
      <c r="A24" s="9" t="s">
        <v>2</v>
      </c>
      <c r="B24" s="6">
        <v>2016</v>
      </c>
    </row>
    <row r="25" spans="1:15" hidden="1" outlineLevel="1">
      <c r="A25" s="8" t="s">
        <v>3</v>
      </c>
      <c r="B25" s="11">
        <f>Indeksacja!$Q$41</f>
        <v>4.3632</v>
      </c>
    </row>
    <row r="26" spans="1:15" hidden="1" outlineLevel="1">
      <c r="A26" s="35" t="str">
        <f>Indeksacja!$A$42</f>
        <v>Źródło: ECB, http://sdw.ecb.europa.eu/quickview.do?SERIES_KEY=120.EXR.A.PLN.EUR.SP00.A</v>
      </c>
      <c r="B26" s="471"/>
      <c r="O26" s="471"/>
    </row>
    <row r="27" spans="1:15" hidden="1" outlineLevel="1">
      <c r="A27" s="471"/>
      <c r="B27" s="471"/>
      <c r="O27" s="471"/>
    </row>
    <row r="28" spans="1:15" ht="30" hidden="1" outlineLevel="1">
      <c r="A28" s="131" t="s">
        <v>565</v>
      </c>
      <c r="B28" s="6">
        <v>2016</v>
      </c>
    </row>
    <row r="29" spans="1:15" hidden="1" outlineLevel="1">
      <c r="A29" s="8" t="s">
        <v>62</v>
      </c>
      <c r="B29" s="470">
        <f>Indeksacja!$Q$44</f>
        <v>68.2</v>
      </c>
    </row>
    <row r="30" spans="1:15" hidden="1" outlineLevel="1">
      <c r="A30" s="35" t="str">
        <f>Indeksacja!$A$45</f>
        <v>Źródło: Eurostat, https://ec.europa.eu/eurostat/data/database Main GDP aggregates per capita [nama_10_pc] (aktualizacja 28.01.2022)</v>
      </c>
      <c r="B30" s="471"/>
      <c r="C30" s="471"/>
      <c r="D30" s="471"/>
      <c r="E30" s="471"/>
      <c r="F30" s="471"/>
      <c r="G30" s="471"/>
      <c r="H30" s="471"/>
      <c r="I30" s="471"/>
      <c r="J30" s="471"/>
      <c r="K30" s="471"/>
      <c r="L30" s="471"/>
      <c r="M30" s="471"/>
      <c r="N30" s="471"/>
      <c r="O30" s="471"/>
    </row>
    <row r="31" spans="1:15" hidden="1" outlineLevel="1"/>
    <row r="32" spans="1:15" s="592" customFormat="1" hidden="1" outlineLevel="1">
      <c r="A32" s="774" t="str">
        <f>'VoT czas ładunki'!$A$41</f>
        <v xml:space="preserve">Wyjaśnienie w sprawie przeliczenia wyjściowych wartości kosztów jednostkowych z zastosowaniem kursu walutowego PLN/EUR oraz PKB Polski per capita w jednostkach siły nabywczej (PPS): </v>
      </c>
      <c r="B32" s="774"/>
      <c r="C32" s="774"/>
      <c r="D32" s="774"/>
      <c r="E32" s="774"/>
      <c r="F32" s="774"/>
    </row>
    <row r="33" spans="1:17" s="672" customFormat="1" hidden="1" outlineLevel="1">
      <c r="A33" s="774"/>
      <c r="B33" s="774"/>
      <c r="C33" s="774"/>
      <c r="D33" s="774"/>
      <c r="E33" s="774"/>
      <c r="F33" s="774"/>
    </row>
    <row r="34" spans="1:17" s="592" customFormat="1" hidden="1" outlineLevel="1">
      <c r="A34" s="517" t="s">
        <v>511</v>
      </c>
    </row>
    <row r="35" spans="1:17" s="592" customFormat="1" hidden="1" outlineLevel="1"/>
    <row r="36" spans="1:17" hidden="1" outlineLevel="1">
      <c r="A36" s="9" t="s">
        <v>293</v>
      </c>
      <c r="B36" s="40">
        <v>2016</v>
      </c>
      <c r="C36" s="40">
        <f>B36+1</f>
        <v>2017</v>
      </c>
      <c r="D36" s="40">
        <f t="shared" ref="D36:I36" si="1">C36+1</f>
        <v>2018</v>
      </c>
      <c r="E36" s="40">
        <f t="shared" si="1"/>
        <v>2019</v>
      </c>
      <c r="F36" s="40">
        <f t="shared" si="1"/>
        <v>2020</v>
      </c>
      <c r="G36" s="40">
        <f t="shared" si="1"/>
        <v>2021</v>
      </c>
      <c r="H36" s="40">
        <f t="shared" si="1"/>
        <v>2022</v>
      </c>
      <c r="I36" s="40">
        <f t="shared" si="1"/>
        <v>2023</v>
      </c>
    </row>
    <row r="37" spans="1:17" ht="45" hidden="1" outlineLevel="1">
      <c r="A37" s="230" t="str">
        <f>Indeksacja!$A$63</f>
        <v>Indeksacja = Y * (PKB per cap PL) * (inflacja PL do roku bazowego), 
skumulowane od 2016</v>
      </c>
      <c r="B37" s="499">
        <f>Indeksacja!Q$63</f>
        <v>1</v>
      </c>
      <c r="C37" s="66">
        <f>Indeksacja!R$63</f>
        <v>1.0616153503184713</v>
      </c>
      <c r="D37" s="66">
        <f>Indeksacja!S$63</f>
        <v>1.1295409938152228</v>
      </c>
      <c r="E37" s="66">
        <f>Indeksacja!T$63</f>
        <v>1.1971500604510183</v>
      </c>
      <c r="F37" s="66">
        <f>Indeksacja!U$63</f>
        <v>1.2178946351589719</v>
      </c>
      <c r="G37" s="66">
        <f>Indeksacja!V$63</f>
        <v>1.3510008430393725</v>
      </c>
      <c r="H37" s="66">
        <f>Indeksacja!W$63</f>
        <v>1.6150446204056672</v>
      </c>
      <c r="I37" s="66">
        <f>Indeksacja!X$63</f>
        <v>1.8020482905123003</v>
      </c>
    </row>
    <row r="38" spans="1:17" hidden="1" outlineLevel="1">
      <c r="F38" s="534"/>
      <c r="G38" s="592"/>
      <c r="H38" s="692"/>
      <c r="I38" s="736"/>
    </row>
    <row r="39" spans="1:17" s="471" customFormat="1" ht="33" hidden="1" outlineLevel="1">
      <c r="A39" s="131" t="s">
        <v>851</v>
      </c>
      <c r="B39" s="40">
        <v>2016</v>
      </c>
      <c r="C39" s="40">
        <f>B39+1</f>
        <v>2017</v>
      </c>
      <c r="D39" s="40">
        <f t="shared" ref="D39" si="2">C39+1</f>
        <v>2018</v>
      </c>
      <c r="E39" s="40">
        <f t="shared" ref="E39:I39" si="3">D39+1</f>
        <v>2019</v>
      </c>
      <c r="F39" s="40">
        <f t="shared" si="3"/>
        <v>2020</v>
      </c>
      <c r="G39" s="40">
        <f t="shared" si="3"/>
        <v>2021</v>
      </c>
      <c r="H39" s="40">
        <f t="shared" si="3"/>
        <v>2022</v>
      </c>
      <c r="I39" s="40">
        <f t="shared" si="3"/>
        <v>2023</v>
      </c>
    </row>
    <row r="40" spans="1:17" ht="48" hidden="1" outlineLevel="1">
      <c r="A40" s="230" t="s">
        <v>852</v>
      </c>
      <c r="B40" s="689">
        <f>'Zmiany klimatu (GHG) samochody'!Q$107</f>
        <v>0</v>
      </c>
      <c r="C40" s="690">
        <f>'Zmiany klimatu (GHG) samochody'!R$107</f>
        <v>2.0000000000000094E-2</v>
      </c>
      <c r="D40" s="690">
        <f>'Zmiany klimatu (GHG) samochody'!S$107</f>
        <v>3.6320000000000088E-2</v>
      </c>
      <c r="E40" s="690">
        <f>'Zmiany klimatu (GHG) samochody'!T$107</f>
        <v>6.0155360000000019E-2</v>
      </c>
      <c r="F40" s="690">
        <f>'Zmiany klimatu (GHG) samochody'!U$107</f>
        <v>9.6200642239999953E-2</v>
      </c>
      <c r="G40" s="690">
        <f>'Zmiany klimatu (GHG) samochody'!V$107</f>
        <v>0.39692958593051575</v>
      </c>
      <c r="H40" s="690">
        <f>'Zmiany klimatu (GHG) samochody'!W$107</f>
        <v>0.87816462761561009</v>
      </c>
      <c r="I40" s="690">
        <f>'Zmiany klimatu (GHG) samochody'!X$107</f>
        <v>1.4042813751443548</v>
      </c>
    </row>
    <row r="41" spans="1:17" s="471" customFormat="1" hidden="1" outlineLevel="1">
      <c r="A41" s="487"/>
    </row>
    <row r="42" spans="1:17" s="471" customFormat="1" collapsed="1">
      <c r="A42" s="487"/>
    </row>
    <row r="43" spans="1:17" s="471" customFormat="1">
      <c r="A43" s="487" t="s">
        <v>926</v>
      </c>
    </row>
    <row r="44" spans="1:17" ht="15" customHeight="1">
      <c r="A44" s="883" t="s">
        <v>267</v>
      </c>
      <c r="B44" s="890" t="s">
        <v>289</v>
      </c>
      <c r="C44" s="891"/>
      <c r="D44" s="891"/>
      <c r="E44" s="891"/>
      <c r="F44" s="891"/>
      <c r="G44" s="891"/>
      <c r="H44" s="891"/>
      <c r="I44" s="891"/>
      <c r="J44" s="892"/>
      <c r="K44" s="888" t="s">
        <v>290</v>
      </c>
      <c r="L44" s="896"/>
      <c r="M44" s="896"/>
      <c r="N44" s="896"/>
      <c r="O44" s="896"/>
      <c r="P44" s="896"/>
      <c r="Q44" s="889"/>
    </row>
    <row r="45" spans="1:17">
      <c r="A45" s="884"/>
      <c r="B45" s="886" t="s">
        <v>65</v>
      </c>
      <c r="C45" s="886"/>
      <c r="D45" s="886"/>
      <c r="E45" s="886"/>
      <c r="F45" s="886" t="s">
        <v>268</v>
      </c>
      <c r="G45" s="886"/>
      <c r="H45" s="890" t="s">
        <v>282</v>
      </c>
      <c r="I45" s="893"/>
      <c r="J45" s="894"/>
      <c r="K45" s="895" t="s">
        <v>65</v>
      </c>
      <c r="L45" s="895"/>
      <c r="M45" s="895"/>
      <c r="N45" s="888" t="s">
        <v>286</v>
      </c>
      <c r="O45" s="889"/>
      <c r="P45" s="496" t="s">
        <v>287</v>
      </c>
      <c r="Q45" s="496" t="s">
        <v>288</v>
      </c>
    </row>
    <row r="46" spans="1:17" ht="30">
      <c r="A46" s="884"/>
      <c r="B46" s="489" t="s">
        <v>71</v>
      </c>
      <c r="C46" s="489" t="s">
        <v>269</v>
      </c>
      <c r="D46" s="496" t="s">
        <v>176</v>
      </c>
      <c r="E46" s="489" t="s">
        <v>270</v>
      </c>
      <c r="F46" s="496" t="s">
        <v>34</v>
      </c>
      <c r="G46" s="496" t="s">
        <v>278</v>
      </c>
      <c r="H46" s="496" t="s">
        <v>279</v>
      </c>
      <c r="I46" s="496" t="s">
        <v>280</v>
      </c>
      <c r="J46" s="496" t="s">
        <v>281</v>
      </c>
      <c r="K46" s="496" t="s">
        <v>283</v>
      </c>
      <c r="L46" s="496" t="s">
        <v>294</v>
      </c>
      <c r="M46" s="496" t="s">
        <v>284</v>
      </c>
      <c r="N46" s="496" t="s">
        <v>35</v>
      </c>
      <c r="O46" s="496" t="s">
        <v>285</v>
      </c>
      <c r="P46" s="490" t="s">
        <v>271</v>
      </c>
      <c r="Q46" s="490" t="s">
        <v>271</v>
      </c>
    </row>
    <row r="47" spans="1:17">
      <c r="A47" s="885"/>
      <c r="B47" s="495" t="s">
        <v>295</v>
      </c>
      <c r="C47" s="495" t="s">
        <v>295</v>
      </c>
      <c r="D47" s="495" t="s">
        <v>295</v>
      </c>
      <c r="E47" s="495" t="s">
        <v>295</v>
      </c>
      <c r="F47" s="495" t="s">
        <v>295</v>
      </c>
      <c r="G47" s="495" t="s">
        <v>295</v>
      </c>
      <c r="H47" s="495" t="s">
        <v>295</v>
      </c>
      <c r="I47" s="495" t="s">
        <v>295</v>
      </c>
      <c r="J47" s="495" t="s">
        <v>295</v>
      </c>
      <c r="K47" s="495" t="s">
        <v>124</v>
      </c>
      <c r="L47" s="495" t="s">
        <v>124</v>
      </c>
      <c r="M47" s="495" t="s">
        <v>296</v>
      </c>
      <c r="N47" s="495" t="s">
        <v>296</v>
      </c>
      <c r="O47" s="495" t="s">
        <v>296</v>
      </c>
      <c r="P47" s="495" t="s">
        <v>296</v>
      </c>
      <c r="Q47" s="495" t="s">
        <v>296</v>
      </c>
    </row>
    <row r="48" spans="1:17">
      <c r="A48" s="488" t="s">
        <v>181</v>
      </c>
      <c r="B48" s="501">
        <f t="shared" ref="B48:Q48" si="4">B9*$B$22*$B$25*$B$29/100*$I$37</f>
        <v>0.26500684907794209</v>
      </c>
      <c r="C48" s="501">
        <f t="shared" si="4"/>
        <v>4.8866951495256418E-2</v>
      </c>
      <c r="D48" s="501">
        <f t="shared" si="4"/>
        <v>4.8866951495256418E-2</v>
      </c>
      <c r="E48" s="501">
        <f t="shared" si="4"/>
        <v>0.77607819196653949</v>
      </c>
      <c r="F48" s="501">
        <f t="shared" si="4"/>
        <v>0.11481080720954778</v>
      </c>
      <c r="G48" s="501">
        <f t="shared" si="4"/>
        <v>0.11481080720954778</v>
      </c>
      <c r="H48" s="501">
        <f t="shared" si="4"/>
        <v>2.1841301125372623E-3</v>
      </c>
      <c r="I48" s="501">
        <f t="shared" si="4"/>
        <v>5.4790443720486909E-4</v>
      </c>
      <c r="J48" s="501">
        <f t="shared" si="4"/>
        <v>6.6917424187620627E-5</v>
      </c>
      <c r="K48" s="501">
        <f t="shared" si="4"/>
        <v>4.253742902418073E-3</v>
      </c>
      <c r="L48" s="501">
        <f t="shared" si="4"/>
        <v>4.253742902418073E-3</v>
      </c>
      <c r="M48" s="501">
        <f t="shared" si="4"/>
        <v>4.7924297146384902E-2</v>
      </c>
      <c r="N48" s="501">
        <f t="shared" si="4"/>
        <v>8.1043777320914754E-3</v>
      </c>
      <c r="O48" s="501">
        <f t="shared" si="4"/>
        <v>8.1043777320914754E-3</v>
      </c>
      <c r="P48" s="501">
        <f t="shared" si="4"/>
        <v>6.1858777965046376E-3</v>
      </c>
      <c r="Q48" s="501">
        <f t="shared" si="4"/>
        <v>2.5980686745319479E-3</v>
      </c>
    </row>
    <row r="49" spans="1:17">
      <c r="A49" s="488" t="s">
        <v>272</v>
      </c>
      <c r="B49" s="501">
        <f t="shared" ref="B49:Q49" si="5">B10*$B$22*$B$25*$B$29/100*$I$37</f>
        <v>3.7259261465732246E-2</v>
      </c>
      <c r="C49" s="501">
        <f t="shared" si="5"/>
        <v>3.7710823139740855E-2</v>
      </c>
      <c r="D49" s="501">
        <f t="shared" si="5"/>
        <v>3.6027371497388189E-2</v>
      </c>
      <c r="E49" s="501">
        <f t="shared" si="5"/>
        <v>3.1307227173453488E-2</v>
      </c>
      <c r="F49" s="501">
        <f t="shared" si="5"/>
        <v>1.2206278423633756E-4</v>
      </c>
      <c r="G49" s="501">
        <f t="shared" si="5"/>
        <v>2.7798676473342117E-2</v>
      </c>
      <c r="H49" s="501">
        <f t="shared" si="5"/>
        <v>1.5885789157116702E-2</v>
      </c>
      <c r="I49" s="501">
        <f t="shared" si="5"/>
        <v>6.8343205822945985E-3</v>
      </c>
      <c r="J49" s="501">
        <f t="shared" si="5"/>
        <v>3.0212831282959104E-3</v>
      </c>
      <c r="K49" s="501">
        <f t="shared" si="5"/>
        <v>5.8769022667332645E-2</v>
      </c>
      <c r="L49" s="501">
        <f t="shared" si="5"/>
        <v>0.15954424215621313</v>
      </c>
      <c r="M49" s="501">
        <f t="shared" si="5"/>
        <v>2.7551664291171743E-2</v>
      </c>
      <c r="N49" s="501">
        <f t="shared" si="5"/>
        <v>3.6663757336485311E-5</v>
      </c>
      <c r="O49" s="501">
        <f t="shared" si="5"/>
        <v>3.9146130583952894E-2</v>
      </c>
      <c r="P49" s="501">
        <f t="shared" si="5"/>
        <v>3.5506298895927137E-2</v>
      </c>
      <c r="Q49" s="501">
        <f t="shared" si="5"/>
        <v>1.4912645536289397E-2</v>
      </c>
    </row>
    <row r="50" spans="1:17">
      <c r="A50" s="494" t="s">
        <v>276</v>
      </c>
      <c r="B50" s="501">
        <f>B11*$B$22*$B$25*(100%+$I$40)</f>
        <v>0.11272572483788061</v>
      </c>
      <c r="C50" s="501">
        <f>C11*$B$22*$B$25*(100%+$I$40)</f>
        <v>5.2569882649755581E-2</v>
      </c>
      <c r="D50" s="501">
        <f>D11*$B$22*$B$25*(100%+$I$40)</f>
        <v>5.0229401313471193E-2</v>
      </c>
      <c r="E50" s="501">
        <f>E11*$B$22*$B$25*(100%+$I$40)</f>
        <v>9.7469226517996332E-2</v>
      </c>
      <c r="F50" s="501">
        <f>F11*$B$22*$B$25*(100%+$I$40*(100%+'Zmiany klimatu (GHG) pociągi'!$W$98))</f>
        <v>0</v>
      </c>
      <c r="G50" s="501">
        <f t="shared" ref="G50:M50" si="6">G11*$B$22*$B$25*(100%+$I$40)</f>
        <v>2.1753703943069715E-2</v>
      </c>
      <c r="H50" s="501">
        <f t="shared" si="6"/>
        <v>0.2503249809172855</v>
      </c>
      <c r="I50" s="501">
        <f t="shared" si="6"/>
        <v>0.19356269283998989</v>
      </c>
      <c r="J50" s="501">
        <f t="shared" si="6"/>
        <v>0.23490115960406549</v>
      </c>
      <c r="K50" s="501">
        <f t="shared" si="6"/>
        <v>0.26987831786677613</v>
      </c>
      <c r="L50" s="501">
        <f t="shared" si="6"/>
        <v>0.32395864554962173</v>
      </c>
      <c r="M50" s="501">
        <f t="shared" si="6"/>
        <v>4.2658761965042223E-2</v>
      </c>
      <c r="N50" s="501">
        <f>N11*$B$22*$B$25*(100%+$I$40*(100%+'Zmiany klimatu (GHG) pociągi'!$W$98))</f>
        <v>0</v>
      </c>
      <c r="O50" s="501">
        <f>O11*$B$22*$B$25*(100%+$I$40)</f>
        <v>2.5930385210419422E-2</v>
      </c>
      <c r="P50" s="501">
        <f>P11*$B$22*$B$25*(100%+$I$40)</f>
        <v>2.7835890443370443E-2</v>
      </c>
      <c r="Q50" s="501">
        <f>Q11*$B$22*$B$25*(100%+$I$40)</f>
        <v>1.1691073986215588E-2</v>
      </c>
    </row>
    <row r="51" spans="1:17">
      <c r="A51" s="488" t="s">
        <v>273</v>
      </c>
      <c r="B51" s="501">
        <f t="shared" ref="B51:Q51" si="7">B12*$B$22*$B$25*$B$29/100*$I$37</f>
        <v>3.0521574657710739E-2</v>
      </c>
      <c r="C51" s="501">
        <f t="shared" si="7"/>
        <v>2.0248990552154761E-2</v>
      </c>
      <c r="D51" s="501">
        <f t="shared" si="7"/>
        <v>1.4327520186978148E-2</v>
      </c>
      <c r="E51" s="501">
        <f t="shared" si="7"/>
        <v>0.35178413344722936</v>
      </c>
      <c r="F51" s="501">
        <f t="shared" si="7"/>
        <v>1.5648197220301516E-2</v>
      </c>
      <c r="G51" s="501">
        <f t="shared" si="7"/>
        <v>2.3475866428387296E-2</v>
      </c>
      <c r="H51" s="501">
        <f t="shared" si="7"/>
        <v>2.4462848543961146E-2</v>
      </c>
      <c r="I51" s="501">
        <f t="shared" si="7"/>
        <v>6.1366780243401432E-3</v>
      </c>
      <c r="J51" s="501">
        <f t="shared" si="7"/>
        <v>7.4949326665896504E-4</v>
      </c>
      <c r="K51" s="501">
        <f t="shared" si="7"/>
        <v>7.0540575249236417E-2</v>
      </c>
      <c r="L51" s="501">
        <f t="shared" si="7"/>
        <v>7.0540575249236417E-2</v>
      </c>
      <c r="M51" s="501">
        <f t="shared" si="7"/>
        <v>2.6648978439521128E-2</v>
      </c>
      <c r="N51" s="501">
        <f t="shared" si="7"/>
        <v>9.4971551530203847E-3</v>
      </c>
      <c r="O51" s="501">
        <f t="shared" si="7"/>
        <v>1.7527098681533241E-2</v>
      </c>
      <c r="P51" s="501">
        <f t="shared" si="7"/>
        <v>0</v>
      </c>
      <c r="Q51" s="501">
        <f t="shared" si="7"/>
        <v>0</v>
      </c>
    </row>
    <row r="52" spans="1:17">
      <c r="A52" s="494" t="s">
        <v>275</v>
      </c>
      <c r="B52" s="501">
        <f t="shared" ref="B52:Q52" si="8">B13*$B$22*$B$25*$B$29/100*$I$37</f>
        <v>0.24147751533040171</v>
      </c>
      <c r="C52" s="501">
        <f t="shared" si="8"/>
        <v>5.1020748758795802E-2</v>
      </c>
      <c r="D52" s="501">
        <f t="shared" si="8"/>
        <v>5.1020748758795802E-2</v>
      </c>
      <c r="E52" s="501">
        <f t="shared" si="8"/>
        <v>0</v>
      </c>
      <c r="F52" s="501">
        <f t="shared" si="8"/>
        <v>0</v>
      </c>
      <c r="G52" s="501">
        <f t="shared" si="8"/>
        <v>0</v>
      </c>
      <c r="H52" s="501">
        <f t="shared" si="8"/>
        <v>0</v>
      </c>
      <c r="I52" s="501">
        <f t="shared" si="8"/>
        <v>0</v>
      </c>
      <c r="J52" s="501">
        <f t="shared" si="8"/>
        <v>0</v>
      </c>
      <c r="K52" s="501">
        <f t="shared" si="8"/>
        <v>0.65357457250203643</v>
      </c>
      <c r="L52" s="501">
        <f t="shared" si="8"/>
        <v>0.65357457250203643</v>
      </c>
      <c r="M52" s="501">
        <f t="shared" si="8"/>
        <v>5.0665251421823924E-2</v>
      </c>
      <c r="N52" s="501">
        <f t="shared" si="8"/>
        <v>0</v>
      </c>
      <c r="O52" s="501">
        <f t="shared" si="8"/>
        <v>0</v>
      </c>
      <c r="P52" s="501">
        <f t="shared" si="8"/>
        <v>0</v>
      </c>
      <c r="Q52" s="501">
        <f t="shared" si="8"/>
        <v>0</v>
      </c>
    </row>
    <row r="53" spans="1:17" ht="27.75">
      <c r="A53" s="497" t="s">
        <v>799</v>
      </c>
      <c r="B53" s="501">
        <f t="shared" ref="B53:Q53" si="9">B14*$B$22*$B$25*$B$29/100*$I$37</f>
        <v>1.6528416996406618E-2</v>
      </c>
      <c r="C53" s="501">
        <f t="shared" si="9"/>
        <v>7.877442403602046E-3</v>
      </c>
      <c r="D53" s="501">
        <f t="shared" si="9"/>
        <v>6.9274991143364537E-3</v>
      </c>
      <c r="E53" s="501">
        <f t="shared" si="9"/>
        <v>2.1981889311371787E-2</v>
      </c>
      <c r="F53" s="501">
        <f t="shared" si="9"/>
        <v>0.10763258888700951</v>
      </c>
      <c r="G53" s="501">
        <f t="shared" si="9"/>
        <v>3.0097055141823487E-3</v>
      </c>
      <c r="H53" s="501">
        <f t="shared" si="9"/>
        <v>5.6740232446372649E-2</v>
      </c>
      <c r="I53" s="501">
        <f t="shared" si="9"/>
        <v>3.7789168239254219E-2</v>
      </c>
      <c r="J53" s="501">
        <f t="shared" si="9"/>
        <v>4.8705621202513552E-2</v>
      </c>
      <c r="K53" s="501">
        <f t="shared" si="9"/>
        <v>4.0848796424038797E-2</v>
      </c>
      <c r="L53" s="501">
        <f t="shared" si="9"/>
        <v>3.7279278900366843E-2</v>
      </c>
      <c r="M53" s="501">
        <f t="shared" si="9"/>
        <v>7.9535129510461006E-3</v>
      </c>
      <c r="N53" s="501">
        <f t="shared" si="9"/>
        <v>1.1440062953672208E-2</v>
      </c>
      <c r="O53" s="501">
        <f t="shared" si="9"/>
        <v>3.6255116947452671E-3</v>
      </c>
      <c r="P53" s="501">
        <f t="shared" si="9"/>
        <v>4.8706784621992206E-3</v>
      </c>
      <c r="Q53" s="501">
        <f t="shared" si="9"/>
        <v>2.0456849541236727E-3</v>
      </c>
    </row>
    <row r="54" spans="1:17">
      <c r="A54" s="642" t="s">
        <v>800</v>
      </c>
      <c r="B54" s="641">
        <f>B53/SUM(B48:B53)</f>
        <v>2.3493905570269466E-2</v>
      </c>
      <c r="C54" s="641">
        <f t="shared" ref="C54:Q54" si="10">C53/SUM(C48:C53)</f>
        <v>3.6086251235775246E-2</v>
      </c>
      <c r="D54" s="641">
        <f t="shared" si="10"/>
        <v>3.3401716828235381E-2</v>
      </c>
      <c r="E54" s="641">
        <f t="shared" si="10"/>
        <v>1.7191877039336122E-2</v>
      </c>
      <c r="F54" s="641">
        <f t="shared" si="10"/>
        <v>0.45183215206323635</v>
      </c>
      <c r="G54" s="641">
        <f t="shared" si="10"/>
        <v>1.577010781200092E-2</v>
      </c>
      <c r="H54" s="641">
        <f t="shared" si="10"/>
        <v>0.16230137329540514</v>
      </c>
      <c r="I54" s="641">
        <f t="shared" si="10"/>
        <v>0.15432290732861673</v>
      </c>
      <c r="J54" s="641">
        <f t="shared" si="10"/>
        <v>0.16944358128968259</v>
      </c>
      <c r="K54" s="641">
        <f t="shared" si="10"/>
        <v>3.7207484888098025E-2</v>
      </c>
      <c r="L54" s="641">
        <f t="shared" si="10"/>
        <v>2.9843691588543154E-2</v>
      </c>
      <c r="M54" s="641">
        <f t="shared" si="10"/>
        <v>3.9102342754485028E-2</v>
      </c>
      <c r="N54" s="641">
        <f t="shared" si="10"/>
        <v>0.39342323483481356</v>
      </c>
      <c r="O54" s="641">
        <f t="shared" si="10"/>
        <v>3.8432916670657798E-2</v>
      </c>
      <c r="P54" s="641">
        <f t="shared" si="10"/>
        <v>6.5467212155927268E-2</v>
      </c>
      <c r="Q54" s="641">
        <f t="shared" si="10"/>
        <v>6.5467212155927282E-2</v>
      </c>
    </row>
    <row r="55" spans="1:17" s="592" customFormat="1">
      <c r="B55" s="640"/>
      <c r="C55" s="640"/>
      <c r="D55" s="640"/>
      <c r="E55" s="640"/>
      <c r="F55" s="640"/>
      <c r="G55" s="640"/>
      <c r="H55" s="640"/>
      <c r="I55" s="640"/>
      <c r="J55" s="640"/>
      <c r="K55" s="640"/>
      <c r="L55" s="640"/>
      <c r="M55" s="640"/>
      <c r="N55" s="640"/>
      <c r="O55" s="640"/>
      <c r="P55" s="640"/>
      <c r="Q55" s="640"/>
    </row>
    <row r="56" spans="1:17">
      <c r="A56" s="493" t="s">
        <v>457</v>
      </c>
    </row>
    <row r="57" spans="1:17" s="592" customFormat="1">
      <c r="A57" s="493"/>
    </row>
    <row r="58" spans="1:17" s="592" customFormat="1">
      <c r="A58" s="887" t="s">
        <v>801</v>
      </c>
      <c r="B58" s="887"/>
      <c r="C58" s="887"/>
      <c r="D58" s="887"/>
      <c r="E58" s="887"/>
      <c r="F58" s="887"/>
    </row>
    <row r="59" spans="1:17" s="672" customFormat="1">
      <c r="A59" s="887"/>
      <c r="B59" s="887"/>
      <c r="C59" s="887"/>
      <c r="D59" s="887"/>
      <c r="E59" s="887"/>
      <c r="F59" s="887"/>
    </row>
    <row r="60" spans="1:17" s="592" customFormat="1">
      <c r="A60" s="754" t="s">
        <v>802</v>
      </c>
      <c r="B60" s="754"/>
      <c r="C60" s="754"/>
      <c r="D60" s="754"/>
      <c r="E60" s="754"/>
      <c r="F60" s="754"/>
    </row>
    <row r="61" spans="1:17" s="672" customFormat="1">
      <c r="A61" s="754"/>
      <c r="B61" s="754"/>
      <c r="C61" s="754"/>
      <c r="D61" s="754"/>
      <c r="E61" s="754"/>
      <c r="F61" s="754"/>
    </row>
    <row r="62" spans="1:17" s="592" customFormat="1" ht="15" customHeight="1">
      <c r="A62" s="810" t="s">
        <v>850</v>
      </c>
      <c r="B62" s="810"/>
      <c r="C62" s="810"/>
      <c r="D62" s="810"/>
      <c r="E62" s="810"/>
      <c r="F62" s="810"/>
    </row>
    <row r="63" spans="1:17" s="687" customFormat="1">
      <c r="A63" s="810"/>
      <c r="B63" s="810"/>
      <c r="C63" s="810"/>
      <c r="D63" s="810"/>
      <c r="E63" s="810"/>
      <c r="F63" s="810"/>
    </row>
    <row r="64" spans="1:17" s="672" customFormat="1">
      <c r="A64" s="810"/>
      <c r="B64" s="810"/>
      <c r="C64" s="810"/>
      <c r="D64" s="810"/>
      <c r="E64" s="810"/>
      <c r="F64" s="810"/>
    </row>
    <row r="65" spans="1:6">
      <c r="A65" s="754" t="s">
        <v>803</v>
      </c>
      <c r="B65" s="754"/>
      <c r="C65" s="754"/>
      <c r="D65" s="754"/>
      <c r="E65" s="754"/>
      <c r="F65" s="754"/>
    </row>
    <row r="66" spans="1:6" s="672" customFormat="1">
      <c r="A66" s="754"/>
      <c r="B66" s="754"/>
      <c r="C66" s="754"/>
      <c r="D66" s="754"/>
      <c r="E66" s="754"/>
      <c r="F66" s="754"/>
    </row>
    <row r="67" spans="1:6" s="592" customFormat="1">
      <c r="A67" s="631" t="s">
        <v>498</v>
      </c>
    </row>
    <row r="68" spans="1:6" s="592" customFormat="1" ht="18" customHeight="1">
      <c r="A68" s="754" t="s">
        <v>804</v>
      </c>
      <c r="B68" s="754"/>
      <c r="C68" s="754"/>
      <c r="D68" s="754"/>
      <c r="E68" s="754"/>
      <c r="F68" s="754"/>
    </row>
    <row r="69" spans="1:6" s="672" customFormat="1">
      <c r="A69" s="754"/>
      <c r="B69" s="754"/>
      <c r="C69" s="754"/>
      <c r="D69" s="754"/>
      <c r="E69" s="754"/>
      <c r="F69" s="754"/>
    </row>
    <row r="70" spans="1:6" s="592" customFormat="1" ht="18">
      <c r="A70" s="630" t="s">
        <v>507</v>
      </c>
    </row>
    <row r="71" spans="1:6" ht="18" customHeight="1">
      <c r="A71" s="754" t="s">
        <v>805</v>
      </c>
      <c r="B71" s="754"/>
      <c r="C71" s="754"/>
      <c r="D71" s="754"/>
      <c r="E71" s="754"/>
      <c r="F71" s="754"/>
    </row>
    <row r="72" spans="1:6" s="672" customFormat="1">
      <c r="A72" s="754"/>
      <c r="B72" s="754"/>
      <c r="C72" s="754"/>
      <c r="D72" s="754"/>
      <c r="E72" s="754"/>
      <c r="F72" s="754"/>
    </row>
    <row r="73" spans="1:6" s="592" customFormat="1" ht="18">
      <c r="A73" s="631" t="s">
        <v>505</v>
      </c>
    </row>
    <row r="74" spans="1:6" s="592" customFormat="1">
      <c r="A74" s="592" t="s">
        <v>806</v>
      </c>
    </row>
    <row r="75" spans="1:6" s="592" customFormat="1">
      <c r="A75" s="754" t="s">
        <v>807</v>
      </c>
      <c r="B75" s="754"/>
      <c r="C75" s="754"/>
      <c r="D75" s="754"/>
      <c r="E75" s="754"/>
      <c r="F75" s="754"/>
    </row>
    <row r="76" spans="1:6" s="672" customFormat="1">
      <c r="A76" s="754"/>
      <c r="B76" s="754"/>
      <c r="C76" s="754"/>
      <c r="D76" s="754"/>
      <c r="E76" s="754"/>
      <c r="F76" s="754"/>
    </row>
    <row r="77" spans="1:6" s="592" customFormat="1">
      <c r="A77" s="754" t="s">
        <v>808</v>
      </c>
      <c r="B77" s="754"/>
      <c r="C77" s="754"/>
      <c r="D77" s="754"/>
      <c r="E77" s="754"/>
      <c r="F77" s="754"/>
    </row>
    <row r="78" spans="1:6" s="672" customFormat="1">
      <c r="A78" s="754"/>
      <c r="B78" s="754"/>
      <c r="C78" s="754"/>
      <c r="D78" s="754"/>
      <c r="E78" s="754"/>
      <c r="F78" s="754"/>
    </row>
    <row r="79" spans="1:6" s="672" customFormat="1">
      <c r="A79" s="754" t="s">
        <v>809</v>
      </c>
      <c r="B79" s="754"/>
      <c r="C79" s="754"/>
      <c r="D79" s="754"/>
      <c r="E79" s="754"/>
      <c r="F79" s="754"/>
    </row>
    <row r="80" spans="1:6" s="672" customFormat="1">
      <c r="A80" s="754"/>
      <c r="B80" s="754"/>
      <c r="C80" s="754"/>
      <c r="D80" s="754"/>
      <c r="E80" s="754"/>
      <c r="F80" s="754"/>
    </row>
    <row r="81" spans="1:17"/>
    <row r="82" spans="1:17">
      <c r="A82" s="187" t="s">
        <v>927</v>
      </c>
    </row>
    <row r="83" spans="1:17">
      <c r="A83" s="882" t="s">
        <v>496</v>
      </c>
      <c r="B83" s="666" t="s">
        <v>309</v>
      </c>
      <c r="C83" s="6">
        <v>2022</v>
      </c>
      <c r="D83" s="6">
        <f>C83+1</f>
        <v>2023</v>
      </c>
      <c r="E83" s="6">
        <f t="shared" ref="E83:Q83" si="11">D83+1</f>
        <v>2024</v>
      </c>
      <c r="F83" s="6">
        <f t="shared" si="11"/>
        <v>2025</v>
      </c>
      <c r="G83" s="6">
        <f t="shared" si="11"/>
        <v>2026</v>
      </c>
      <c r="H83" s="6">
        <f t="shared" si="11"/>
        <v>2027</v>
      </c>
      <c r="I83" s="6">
        <f t="shared" si="11"/>
        <v>2028</v>
      </c>
      <c r="J83" s="6">
        <f t="shared" si="11"/>
        <v>2029</v>
      </c>
      <c r="K83" s="6">
        <f t="shared" si="11"/>
        <v>2030</v>
      </c>
      <c r="L83" s="6">
        <f t="shared" si="11"/>
        <v>2031</v>
      </c>
      <c r="M83" s="6">
        <f t="shared" si="11"/>
        <v>2032</v>
      </c>
      <c r="N83" s="6">
        <f t="shared" si="11"/>
        <v>2033</v>
      </c>
      <c r="O83" s="6">
        <f t="shared" si="11"/>
        <v>2034</v>
      </c>
      <c r="P83" s="6">
        <f t="shared" si="11"/>
        <v>2035</v>
      </c>
      <c r="Q83" s="6">
        <f t="shared" si="11"/>
        <v>2036</v>
      </c>
    </row>
    <row r="84" spans="1:17">
      <c r="A84" s="873"/>
      <c r="B84" s="667" t="s">
        <v>510</v>
      </c>
      <c r="C84" s="661">
        <f>DATE(2021,12,31)</f>
        <v>44561</v>
      </c>
      <c r="D84" s="661">
        <f>DATE(YEAR(C84+1),12,31)</f>
        <v>44926</v>
      </c>
      <c r="E84" s="661">
        <f t="shared" ref="E84:Q84" si="12">DATE(YEAR(D84+1),12,31)</f>
        <v>45291</v>
      </c>
      <c r="F84" s="661">
        <f t="shared" si="12"/>
        <v>45657</v>
      </c>
      <c r="G84" s="661">
        <f t="shared" si="12"/>
        <v>46022</v>
      </c>
      <c r="H84" s="661">
        <f t="shared" si="12"/>
        <v>46387</v>
      </c>
      <c r="I84" s="661">
        <f t="shared" si="12"/>
        <v>46752</v>
      </c>
      <c r="J84" s="661">
        <f t="shared" si="12"/>
        <v>47118</v>
      </c>
      <c r="K84" s="661">
        <f t="shared" si="12"/>
        <v>47483</v>
      </c>
      <c r="L84" s="661">
        <f t="shared" si="12"/>
        <v>47848</v>
      </c>
      <c r="M84" s="661">
        <f t="shared" si="12"/>
        <v>48213</v>
      </c>
      <c r="N84" s="661">
        <f t="shared" si="12"/>
        <v>48579</v>
      </c>
      <c r="O84" s="661">
        <f t="shared" si="12"/>
        <v>48944</v>
      </c>
      <c r="P84" s="661">
        <f t="shared" si="12"/>
        <v>49309</v>
      </c>
      <c r="Q84" s="661">
        <f t="shared" si="12"/>
        <v>49674</v>
      </c>
    </row>
    <row r="85" spans="1:17">
      <c r="A85" s="488" t="s">
        <v>181</v>
      </c>
      <c r="B85" s="335" t="s">
        <v>497</v>
      </c>
      <c r="C85" s="343">
        <f>B48</f>
        <v>0.26500684907794209</v>
      </c>
      <c r="D85" s="344">
        <f>C85*Indeksacja!W$61</f>
        <v>0.31680060614256306</v>
      </c>
      <c r="E85" s="335">
        <f>D85*Indeksacja!X$61</f>
        <v>0.35348248804981625</v>
      </c>
      <c r="F85" s="335">
        <f>E85*Indeksacja!Y$61</f>
        <v>0.36317115150234486</v>
      </c>
      <c r="G85" s="335">
        <f>F85*Indeksacja!Z$61</f>
        <v>0.37488623049884684</v>
      </c>
      <c r="H85" s="335">
        <f>G85*Indeksacja!AA$61</f>
        <v>0.38610932942161058</v>
      </c>
      <c r="I85" s="335">
        <f>H85*Indeksacja!AB$61</f>
        <v>0.39566650823456484</v>
      </c>
      <c r="J85" s="335">
        <f>I85*Indeksacja!AC$61</f>
        <v>0.40549461337302156</v>
      </c>
      <c r="K85" s="335">
        <f>J85*Indeksacja!AD$61</f>
        <v>0.41530222314029913</v>
      </c>
      <c r="L85" s="335">
        <f>K85*Indeksacja!AE$61</f>
        <v>0.42506924549893138</v>
      </c>
      <c r="M85" s="335">
        <f>L85*Indeksacja!AF$61</f>
        <v>0.43423508952748607</v>
      </c>
      <c r="N85" s="335">
        <f>M85*Indeksacja!AG$61</f>
        <v>0.44304409264193767</v>
      </c>
      <c r="O85" s="335">
        <f>N85*Indeksacja!AH$61</f>
        <v>0.45215740810651361</v>
      </c>
      <c r="P85" s="335">
        <f>O85*Indeksacja!AI$61</f>
        <v>0.46153383987218433</v>
      </c>
      <c r="Q85" s="335">
        <f>P85*Indeksacja!AJ$61</f>
        <v>0.47043731769047392</v>
      </c>
    </row>
    <row r="86" spans="1:17">
      <c r="A86" s="494" t="s">
        <v>276</v>
      </c>
      <c r="B86" s="335" t="s">
        <v>497</v>
      </c>
      <c r="C86" s="343">
        <f>B50</f>
        <v>0.11272572483788061</v>
      </c>
      <c r="D86" s="344">
        <f>C86*(100%+'Zmiany klimatu (GHG) samochody'!W$106)</f>
        <v>0.1515591559840932</v>
      </c>
      <c r="E86" s="335">
        <f>D86*(100%+'Zmiany klimatu (GHG) samochody'!X$106)</f>
        <v>0.19401433218756717</v>
      </c>
      <c r="F86" s="335">
        <f>E86*(100%+'Zmiany klimatu (GHG) samochody'!Y$106)</f>
        <v>0.21919176460885453</v>
      </c>
      <c r="G86" s="335">
        <f>F86*(100%+'Zmiany klimatu (GHG) samochody'!Z$106)</f>
        <v>0.2443691970301419</v>
      </c>
      <c r="H86" s="335">
        <f>G86*(100%+'Zmiany klimatu (GHG) samochody'!AA$106)</f>
        <v>0.26954662945142926</v>
      </c>
      <c r="I86" s="335">
        <f>H86*(100%+'Zmiany klimatu (GHG) samochody'!AB$106)</f>
        <v>0.29472406187271666</v>
      </c>
      <c r="J86" s="335">
        <f>I86*(100%+'Zmiany klimatu (GHG) samochody'!AC$106)</f>
        <v>0.319901494294004</v>
      </c>
      <c r="K86" s="335">
        <f>J86*(100%+'Zmiany klimatu (GHG) samochody'!AD$106)</f>
        <v>0.34507892671529133</v>
      </c>
      <c r="L86" s="335">
        <f>K86*(100%+'Zmiany klimatu (GHG) samochody'!AE$106)</f>
        <v>0.37025635913657867</v>
      </c>
      <c r="M86" s="335">
        <f>L86*(100%+'Zmiany klimatu (GHG) samochody'!AF$106)</f>
        <v>0.41172507135987552</v>
      </c>
      <c r="N86" s="335">
        <f>M86*(100%+'Zmiany klimatu (GHG) samochody'!AG$106)</f>
        <v>0.45319378358317236</v>
      </c>
      <c r="O86" s="335">
        <f>N86*(100%+'Zmiany klimatu (GHG) samochody'!AH$106)</f>
        <v>0.49466249580646915</v>
      </c>
      <c r="P86" s="335">
        <f>O86*(100%+'Zmiany klimatu (GHG) samochody'!AI$106)</f>
        <v>0.53613120802976599</v>
      </c>
      <c r="Q86" s="335">
        <f>P86*(100%+'Zmiany klimatu (GHG) samochody'!AJ$106)</f>
        <v>0.57759992025306284</v>
      </c>
    </row>
    <row r="87" spans="1:17"/>
    <row r="88" spans="1:17">
      <c r="A88" s="187" t="s">
        <v>928</v>
      </c>
      <c r="B88" s="592"/>
      <c r="C88" s="592"/>
      <c r="D88" s="592"/>
      <c r="E88" s="592"/>
      <c r="F88" s="592"/>
      <c r="G88" s="592"/>
      <c r="H88" s="592"/>
      <c r="I88" s="592"/>
      <c r="J88" s="592"/>
      <c r="K88" s="592"/>
      <c r="L88" s="592"/>
      <c r="M88" s="592"/>
      <c r="N88" s="592"/>
      <c r="O88" s="592"/>
      <c r="P88" s="592"/>
      <c r="Q88" s="592"/>
    </row>
    <row r="89" spans="1:17">
      <c r="A89" s="882" t="s">
        <v>506</v>
      </c>
      <c r="B89" s="666" t="s">
        <v>309</v>
      </c>
      <c r="C89" s="6">
        <v>2022</v>
      </c>
      <c r="D89" s="6">
        <f>C89+1</f>
        <v>2023</v>
      </c>
      <c r="E89" s="6">
        <f t="shared" ref="E89:Q89" si="13">D89+1</f>
        <v>2024</v>
      </c>
      <c r="F89" s="6">
        <f t="shared" si="13"/>
        <v>2025</v>
      </c>
      <c r="G89" s="6">
        <f t="shared" si="13"/>
        <v>2026</v>
      </c>
      <c r="H89" s="6">
        <f t="shared" si="13"/>
        <v>2027</v>
      </c>
      <c r="I89" s="6">
        <f t="shared" si="13"/>
        <v>2028</v>
      </c>
      <c r="J89" s="6">
        <f t="shared" si="13"/>
        <v>2029</v>
      </c>
      <c r="K89" s="6">
        <f t="shared" si="13"/>
        <v>2030</v>
      </c>
      <c r="L89" s="6">
        <f t="shared" si="13"/>
        <v>2031</v>
      </c>
      <c r="M89" s="6">
        <f t="shared" si="13"/>
        <v>2032</v>
      </c>
      <c r="N89" s="6">
        <f t="shared" si="13"/>
        <v>2033</v>
      </c>
      <c r="O89" s="6">
        <f t="shared" si="13"/>
        <v>2034</v>
      </c>
      <c r="P89" s="6">
        <f t="shared" si="13"/>
        <v>2035</v>
      </c>
      <c r="Q89" s="6">
        <f t="shared" si="13"/>
        <v>2036</v>
      </c>
    </row>
    <row r="90" spans="1:17">
      <c r="A90" s="873"/>
      <c r="B90" s="667" t="s">
        <v>510</v>
      </c>
      <c r="C90" s="661">
        <f>DATE(2021,12,31)</f>
        <v>44561</v>
      </c>
      <c r="D90" s="661">
        <f>DATE(YEAR(C90+1),12,31)</f>
        <v>44926</v>
      </c>
      <c r="E90" s="661">
        <f t="shared" ref="E90:Q90" si="14">DATE(YEAR(D90+1),12,31)</f>
        <v>45291</v>
      </c>
      <c r="F90" s="661">
        <f t="shared" si="14"/>
        <v>45657</v>
      </c>
      <c r="G90" s="661">
        <f t="shared" si="14"/>
        <v>46022</v>
      </c>
      <c r="H90" s="661">
        <f t="shared" si="14"/>
        <v>46387</v>
      </c>
      <c r="I90" s="661">
        <f t="shared" si="14"/>
        <v>46752</v>
      </c>
      <c r="J90" s="661">
        <f t="shared" si="14"/>
        <v>47118</v>
      </c>
      <c r="K90" s="661">
        <f t="shared" si="14"/>
        <v>47483</v>
      </c>
      <c r="L90" s="661">
        <f t="shared" si="14"/>
        <v>47848</v>
      </c>
      <c r="M90" s="661">
        <f t="shared" si="14"/>
        <v>48213</v>
      </c>
      <c r="N90" s="661">
        <f t="shared" si="14"/>
        <v>48579</v>
      </c>
      <c r="O90" s="661">
        <f t="shared" si="14"/>
        <v>48944</v>
      </c>
      <c r="P90" s="661">
        <f t="shared" si="14"/>
        <v>49309</v>
      </c>
      <c r="Q90" s="661">
        <f t="shared" si="14"/>
        <v>49674</v>
      </c>
    </row>
    <row r="91" spans="1:17" s="592" customFormat="1">
      <c r="A91" s="645" t="s">
        <v>34</v>
      </c>
      <c r="B91" s="639"/>
      <c r="C91" s="516"/>
      <c r="D91" s="516"/>
      <c r="E91" s="516"/>
      <c r="F91" s="516"/>
      <c r="G91" s="516"/>
      <c r="H91" s="516"/>
      <c r="I91" s="516"/>
      <c r="J91" s="516"/>
      <c r="K91" s="516"/>
      <c r="L91" s="516"/>
      <c r="M91" s="516"/>
      <c r="N91" s="516"/>
      <c r="O91" s="516"/>
      <c r="P91" s="516"/>
      <c r="Q91" s="516"/>
    </row>
    <row r="92" spans="1:17" s="592" customFormat="1">
      <c r="A92" s="488" t="s">
        <v>181</v>
      </c>
      <c r="B92" s="335" t="s">
        <v>497</v>
      </c>
      <c r="C92" s="343">
        <f>F48</f>
        <v>0.11481080720954778</v>
      </c>
      <c r="D92" s="344">
        <f>C92*Indeksacja!W$61</f>
        <v>0.13724978596686818</v>
      </c>
      <c r="E92" s="335">
        <f>D92*Indeksacja!X$61</f>
        <v>0.15314173927445382</v>
      </c>
      <c r="F92" s="335">
        <f>E92*Indeksacja!Y$61</f>
        <v>0.15733922803988301</v>
      </c>
      <c r="G92" s="335">
        <f>F92*Indeksacja!Z$61</f>
        <v>0.1624146352634768</v>
      </c>
      <c r="H92" s="335">
        <f>G92*Indeksacja!AA$61</f>
        <v>0.16727689845100721</v>
      </c>
      <c r="I92" s="335">
        <f>H92*Indeksacja!AB$61</f>
        <v>0.17141742318830766</v>
      </c>
      <c r="J92" s="335">
        <f>I92*Indeksacja!AC$61</f>
        <v>0.17567532326980573</v>
      </c>
      <c r="K92" s="335">
        <f>J92*Indeksacja!AD$61</f>
        <v>0.17992434399547838</v>
      </c>
      <c r="L92" s="335">
        <f>K92*Indeksacja!AE$61</f>
        <v>0.18415578074864117</v>
      </c>
      <c r="M92" s="335">
        <f>L92*Indeksacja!AF$61</f>
        <v>0.18812676472636347</v>
      </c>
      <c r="N92" s="335">
        <f>M92*Indeksacja!AG$61</f>
        <v>0.19194315196994052</v>
      </c>
      <c r="O92" s="335">
        <f>N92*Indeksacja!AH$61</f>
        <v>0.19589137862326558</v>
      </c>
      <c r="P92" s="335">
        <f>O92*Indeksacja!AI$61</f>
        <v>0.19995359702821436</v>
      </c>
      <c r="Q92" s="335">
        <f>P92*Indeksacja!AJ$61</f>
        <v>0.20381091422151257</v>
      </c>
    </row>
    <row r="93" spans="1:17" s="592" customFormat="1">
      <c r="A93" s="494" t="s">
        <v>276</v>
      </c>
      <c r="B93" s="335" t="s">
        <v>497</v>
      </c>
      <c r="C93" s="343">
        <f>F50</f>
        <v>0</v>
      </c>
      <c r="D93" s="344">
        <f>C93*(100%+'Zmiany klimatu (GHG) samochody'!W$106)*(100%+'Zmiany klimatu (GHG) pociągi'!W$97)</f>
        <v>0</v>
      </c>
      <c r="E93" s="335">
        <f>D93*(100%+'Zmiany klimatu (GHG) samochody'!X$106)*(100%+'Zmiany klimatu (GHG) pociągi'!X$97)</f>
        <v>0</v>
      </c>
      <c r="F93" s="335">
        <f>E93*(100%+'Zmiany klimatu (GHG) samochody'!Y$106)*(100%+'Zmiany klimatu (GHG) pociągi'!Y$97)</f>
        <v>0</v>
      </c>
      <c r="G93" s="335">
        <f>F93*(100%+'Zmiany klimatu (GHG) samochody'!Z$106)*(100%+'Zmiany klimatu (GHG) pociągi'!Z$97)</f>
        <v>0</v>
      </c>
      <c r="H93" s="335">
        <f>G93*(100%+'Zmiany klimatu (GHG) samochody'!AA$106)*(100%+'Zmiany klimatu (GHG) pociągi'!AA$97)</f>
        <v>0</v>
      </c>
      <c r="I93" s="335">
        <f>H93*(100%+'Zmiany klimatu (GHG) samochody'!AB$106)*(100%+'Zmiany klimatu (GHG) pociągi'!AB$97)</f>
        <v>0</v>
      </c>
      <c r="J93" s="335">
        <f>I93*(100%+'Zmiany klimatu (GHG) samochody'!AC$106)*(100%+'Zmiany klimatu (GHG) pociągi'!AC$97)</f>
        <v>0</v>
      </c>
      <c r="K93" s="335">
        <f>J93*(100%+'Zmiany klimatu (GHG) samochody'!AD$106)*(100%+'Zmiany klimatu (GHG) pociągi'!AD$97)</f>
        <v>0</v>
      </c>
      <c r="L93" s="335">
        <f>K93*(100%+'Zmiany klimatu (GHG) samochody'!AE$106)*(100%+'Zmiany klimatu (GHG) pociągi'!AE$97)</f>
        <v>0</v>
      </c>
      <c r="M93" s="335">
        <f>L93*(100%+'Zmiany klimatu (GHG) samochody'!AF$106)*(100%+'Zmiany klimatu (GHG) pociągi'!AF$97)</f>
        <v>0</v>
      </c>
      <c r="N93" s="335">
        <f>M93*(100%+'Zmiany klimatu (GHG) samochody'!AG$106)*(100%+'Zmiany klimatu (GHG) pociągi'!AG$97)</f>
        <v>0</v>
      </c>
      <c r="O93" s="335">
        <f>N93*(100%+'Zmiany klimatu (GHG) samochody'!AH$106)*(100%+'Zmiany klimatu (GHG) pociągi'!AH$97)</f>
        <v>0</v>
      </c>
      <c r="P93" s="335">
        <f>O93*(100%+'Zmiany klimatu (GHG) samochody'!AI$106)*(100%+'Zmiany klimatu (GHG) pociągi'!AI$97)</f>
        <v>0</v>
      </c>
      <c r="Q93" s="335">
        <f>P93*(100%+'Zmiany klimatu (GHG) samochody'!AJ$106)*(100%+'Zmiany klimatu (GHG) pociągi'!AJ$97)</f>
        <v>0</v>
      </c>
    </row>
    <row r="94" spans="1:17" s="592" customFormat="1">
      <c r="A94" s="645" t="s">
        <v>278</v>
      </c>
      <c r="B94" s="639"/>
      <c r="C94" s="516"/>
      <c r="D94" s="516"/>
      <c r="E94" s="516"/>
      <c r="F94" s="516"/>
      <c r="G94" s="516"/>
      <c r="H94" s="516"/>
      <c r="I94" s="516"/>
      <c r="J94" s="516"/>
      <c r="K94" s="516"/>
      <c r="L94" s="516"/>
      <c r="M94" s="516"/>
      <c r="N94" s="516"/>
      <c r="O94" s="516"/>
      <c r="P94" s="516"/>
      <c r="Q94" s="516"/>
    </row>
    <row r="95" spans="1:17">
      <c r="A95" s="488" t="s">
        <v>181</v>
      </c>
      <c r="B95" s="335" t="s">
        <v>497</v>
      </c>
      <c r="C95" s="343">
        <f>G48</f>
        <v>0.11481080720954778</v>
      </c>
      <c r="D95" s="344">
        <f>C95*Indeksacja!W$61</f>
        <v>0.13724978596686818</v>
      </c>
      <c r="E95" s="335">
        <f>D95*Indeksacja!X$61</f>
        <v>0.15314173927445382</v>
      </c>
      <c r="F95" s="335">
        <f>E95*Indeksacja!Y$61</f>
        <v>0.15733922803988301</v>
      </c>
      <c r="G95" s="335">
        <f>F95*Indeksacja!Z$61</f>
        <v>0.1624146352634768</v>
      </c>
      <c r="H95" s="335">
        <f>G95*Indeksacja!AA$61</f>
        <v>0.16727689845100721</v>
      </c>
      <c r="I95" s="335">
        <f>H95*Indeksacja!AB$61</f>
        <v>0.17141742318830766</v>
      </c>
      <c r="J95" s="335">
        <f>I95*Indeksacja!AC$61</f>
        <v>0.17567532326980573</v>
      </c>
      <c r="K95" s="335">
        <f>J95*Indeksacja!AD$61</f>
        <v>0.17992434399547838</v>
      </c>
      <c r="L95" s="335">
        <f>K95*Indeksacja!AE$61</f>
        <v>0.18415578074864117</v>
      </c>
      <c r="M95" s="335">
        <f>L95*Indeksacja!AF$61</f>
        <v>0.18812676472636347</v>
      </c>
      <c r="N95" s="335">
        <f>M95*Indeksacja!AG$61</f>
        <v>0.19194315196994052</v>
      </c>
      <c r="O95" s="335">
        <f>N95*Indeksacja!AH$61</f>
        <v>0.19589137862326558</v>
      </c>
      <c r="P95" s="335">
        <f>O95*Indeksacja!AI$61</f>
        <v>0.19995359702821436</v>
      </c>
      <c r="Q95" s="335">
        <f>P95*Indeksacja!AJ$61</f>
        <v>0.20381091422151257</v>
      </c>
    </row>
    <row r="96" spans="1:17">
      <c r="A96" s="494" t="s">
        <v>276</v>
      </c>
      <c r="B96" s="335" t="s">
        <v>497</v>
      </c>
      <c r="C96" s="343">
        <f>G50</f>
        <v>2.1753703943069715E-2</v>
      </c>
      <c r="D96" s="344">
        <f>C96*(100%+'Zmiany klimatu (GHG) samochody'!W$106)</f>
        <v>2.9247742818962686E-2</v>
      </c>
      <c r="E96" s="335">
        <f>D96*(100%+'Zmiany klimatu (GHG) samochody'!X$106)</f>
        <v>3.7440702636337725E-2</v>
      </c>
      <c r="F96" s="335">
        <f>E96*(100%+'Zmiany klimatu (GHG) samochody'!Y$106)</f>
        <v>4.2299419772351021E-2</v>
      </c>
      <c r="G96" s="335">
        <f>F96*(100%+'Zmiany klimatu (GHG) samochody'!Z$106)</f>
        <v>4.7158136908364318E-2</v>
      </c>
      <c r="H96" s="335">
        <f>G96*(100%+'Zmiany klimatu (GHG) samochody'!AA$106)</f>
        <v>5.2016854044377614E-2</v>
      </c>
      <c r="I96" s="335">
        <f>H96*(100%+'Zmiany klimatu (GHG) samochody'!AB$106)</f>
        <v>5.687557118039091E-2</v>
      </c>
      <c r="J96" s="335">
        <f>I96*(100%+'Zmiany klimatu (GHG) samochody'!AC$106)</f>
        <v>6.1734288316404207E-2</v>
      </c>
      <c r="K96" s="335">
        <f>J96*(100%+'Zmiany klimatu (GHG) samochody'!AD$106)</f>
        <v>6.6593005452417503E-2</v>
      </c>
      <c r="L96" s="335">
        <f>K96*(100%+'Zmiany klimatu (GHG) samochody'!AE$106)</f>
        <v>7.1451722588430785E-2</v>
      </c>
      <c r="M96" s="335">
        <f>L96*(100%+'Zmiany klimatu (GHG) samochody'!AF$106)</f>
        <v>7.9454315518335039E-2</v>
      </c>
      <c r="N96" s="335">
        <f>M96*(100%+'Zmiany klimatu (GHG) samochody'!AG$106)</f>
        <v>8.7456908448239293E-2</v>
      </c>
      <c r="O96" s="335">
        <f>N96*(100%+'Zmiany klimatu (GHG) samochody'!AH$106)</f>
        <v>9.5459501378143533E-2</v>
      </c>
      <c r="P96" s="335">
        <f>O96*(100%+'Zmiany klimatu (GHG) samochody'!AI$106)</f>
        <v>0.10346209430804779</v>
      </c>
      <c r="Q96" s="335">
        <f>P96*(100%+'Zmiany klimatu (GHG) samochody'!AJ$106)</f>
        <v>0.11146468723795204</v>
      </c>
    </row>
    <row r="97"/>
    <row r="98" hidden="1"/>
    <row r="99" hidden="1"/>
  </sheetData>
  <mergeCells count="28">
    <mergeCell ref="N45:O45"/>
    <mergeCell ref="F6:G6"/>
    <mergeCell ref="B5:J5"/>
    <mergeCell ref="B44:J44"/>
    <mergeCell ref="F45:G45"/>
    <mergeCell ref="H45:J45"/>
    <mergeCell ref="K45:M45"/>
    <mergeCell ref="K5:Q5"/>
    <mergeCell ref="N6:O6"/>
    <mergeCell ref="K44:Q44"/>
    <mergeCell ref="H6:J6"/>
    <mergeCell ref="K6:M6"/>
    <mergeCell ref="A83:A84"/>
    <mergeCell ref="A89:A90"/>
    <mergeCell ref="A44:A47"/>
    <mergeCell ref="B45:E45"/>
    <mergeCell ref="A5:A8"/>
    <mergeCell ref="B6:E6"/>
    <mergeCell ref="A32:F33"/>
    <mergeCell ref="A58:F59"/>
    <mergeCell ref="A60:F61"/>
    <mergeCell ref="A62:F64"/>
    <mergeCell ref="A65:F66"/>
    <mergeCell ref="A68:F69"/>
    <mergeCell ref="A71:F72"/>
    <mergeCell ref="A75:F76"/>
    <mergeCell ref="A77:F78"/>
    <mergeCell ref="A79:F80"/>
  </mergeCells>
  <hyperlinks>
    <hyperlink ref="A70" location="'Zmiany klimatu (GHG) samochody'!A107" display="Zmiany kosztu jednostkowego CO2 po roku bazowym"/>
    <hyperlink ref="A73" location="'Zmiany klimatu (GHG) pociągi'!A98" display="Zmiany wskaźnika emisji CO2 po roku bazowym"/>
    <hyperlink ref="A67" location="Indeksacja!A61" display="Indeksacja ECT 2019 po roku bazowym"/>
    <hyperlink ref="A34" location="Indeksacja!A29" display="Nota metodologiczna"/>
  </hyperlinks>
  <pageMargins left="0.7" right="0.7" top="0.75" bottom="0.75"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91"/>
  <sheetViews>
    <sheetView workbookViewId="0">
      <pane xSplit="1" ySplit="3" topLeftCell="B4" activePane="bottomRight" state="frozen"/>
      <selection pane="topRight" activeCell="B1" sqref="B1"/>
      <selection pane="bottomLeft" activeCell="A3" sqref="A3"/>
      <selection pane="bottomRight" activeCell="B4" sqref="B4"/>
    </sheetView>
  </sheetViews>
  <sheetFormatPr defaultColWidth="0" defaultRowHeight="15" zeroHeight="1" outlineLevelRow="1" outlineLevelCol="1"/>
  <cols>
    <col min="1" max="1" width="30.7109375" style="529" customWidth="1"/>
    <col min="2" max="2" width="9.140625" style="529" customWidth="1"/>
    <col min="3" max="12" width="1.7109375" style="529" hidden="1" customWidth="1" outlineLevel="1"/>
    <col min="13" max="13" width="9.140625" style="529" customWidth="1" collapsed="1"/>
    <col min="14" max="61" width="11.7109375" style="529" customWidth="1"/>
    <col min="62" max="62" width="9.140625" style="529" customWidth="1"/>
    <col min="63" max="16384" width="9.140625" style="529" hidden="1"/>
  </cols>
  <sheetData>
    <row r="1" spans="1:61" ht="21">
      <c r="A1" s="4" t="s">
        <v>434</v>
      </c>
      <c r="B1" s="5"/>
      <c r="C1" s="88"/>
      <c r="D1" s="88"/>
      <c r="E1" s="88"/>
      <c r="F1" s="88"/>
      <c r="G1" s="88"/>
      <c r="H1" s="88"/>
      <c r="I1" s="88"/>
      <c r="J1" s="88"/>
      <c r="K1" s="88"/>
      <c r="L1" s="5"/>
      <c r="M1" s="88"/>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row>
    <row r="2" spans="1:61">
      <c r="A2" t="s">
        <v>810</v>
      </c>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row>
    <row r="3" spans="1:61">
      <c r="A3" s="529" t="str">
        <f>Indeksacja!$A$2</f>
        <v>Dla roku bazowego 2024 właściwe do zastosowania w analizie są wartości kosztów jednostkowych określone według poziomu cenowego z końca roku poprzedniego, tzn. 2023.</v>
      </c>
    </row>
    <row r="4" spans="1:61"/>
    <row r="5" spans="1:61">
      <c r="A5" s="9" t="s">
        <v>293</v>
      </c>
      <c r="B5" s="6"/>
      <c r="C5" s="6"/>
      <c r="D5" s="6"/>
      <c r="E5" s="6"/>
      <c r="F5" s="6"/>
      <c r="G5" s="6"/>
      <c r="H5" s="6"/>
      <c r="I5" s="6"/>
      <c r="J5" s="6"/>
      <c r="K5" s="6"/>
      <c r="L5" s="6"/>
      <c r="M5" s="6"/>
      <c r="N5" s="6">
        <v>2013</v>
      </c>
      <c r="O5" s="6">
        <f t="shared" ref="O5:BI5" si="0">N5+1</f>
        <v>2014</v>
      </c>
      <c r="P5" s="6">
        <f t="shared" si="0"/>
        <v>2015</v>
      </c>
      <c r="Q5" s="6">
        <f t="shared" si="0"/>
        <v>2016</v>
      </c>
      <c r="R5" s="6">
        <f t="shared" si="0"/>
        <v>2017</v>
      </c>
      <c r="S5" s="6">
        <f t="shared" si="0"/>
        <v>2018</v>
      </c>
      <c r="T5" s="6">
        <f t="shared" si="0"/>
        <v>2019</v>
      </c>
      <c r="U5" s="6">
        <f t="shared" si="0"/>
        <v>2020</v>
      </c>
      <c r="V5" s="6">
        <f t="shared" si="0"/>
        <v>2021</v>
      </c>
      <c r="W5" s="6">
        <f t="shared" si="0"/>
        <v>2022</v>
      </c>
      <c r="X5" s="6">
        <f t="shared" si="0"/>
        <v>2023</v>
      </c>
      <c r="Y5" s="6">
        <f t="shared" si="0"/>
        <v>2024</v>
      </c>
      <c r="Z5" s="6">
        <f t="shared" si="0"/>
        <v>2025</v>
      </c>
      <c r="AA5" s="6">
        <f t="shared" si="0"/>
        <v>2026</v>
      </c>
      <c r="AB5" s="6">
        <f t="shared" si="0"/>
        <v>2027</v>
      </c>
      <c r="AC5" s="6">
        <f t="shared" si="0"/>
        <v>2028</v>
      </c>
      <c r="AD5" s="6">
        <f t="shared" si="0"/>
        <v>2029</v>
      </c>
      <c r="AE5" s="6">
        <f t="shared" si="0"/>
        <v>2030</v>
      </c>
      <c r="AF5" s="6">
        <f t="shared" si="0"/>
        <v>2031</v>
      </c>
      <c r="AG5" s="6">
        <f t="shared" si="0"/>
        <v>2032</v>
      </c>
      <c r="AH5" s="6">
        <f t="shared" si="0"/>
        <v>2033</v>
      </c>
      <c r="AI5" s="6">
        <f t="shared" si="0"/>
        <v>2034</v>
      </c>
      <c r="AJ5" s="6">
        <f t="shared" si="0"/>
        <v>2035</v>
      </c>
      <c r="AK5" s="6">
        <f t="shared" si="0"/>
        <v>2036</v>
      </c>
      <c r="AL5" s="6">
        <f t="shared" si="0"/>
        <v>2037</v>
      </c>
      <c r="AM5" s="6">
        <f t="shared" si="0"/>
        <v>2038</v>
      </c>
      <c r="AN5" s="6">
        <f t="shared" si="0"/>
        <v>2039</v>
      </c>
      <c r="AO5" s="6">
        <f t="shared" si="0"/>
        <v>2040</v>
      </c>
      <c r="AP5" s="6">
        <f t="shared" si="0"/>
        <v>2041</v>
      </c>
      <c r="AQ5" s="6">
        <f t="shared" si="0"/>
        <v>2042</v>
      </c>
      <c r="AR5" s="6">
        <f t="shared" si="0"/>
        <v>2043</v>
      </c>
      <c r="AS5" s="6">
        <f t="shared" si="0"/>
        <v>2044</v>
      </c>
      <c r="AT5" s="6">
        <f t="shared" si="0"/>
        <v>2045</v>
      </c>
      <c r="AU5" s="6">
        <f t="shared" si="0"/>
        <v>2046</v>
      </c>
      <c r="AV5" s="6">
        <f t="shared" si="0"/>
        <v>2047</v>
      </c>
      <c r="AW5" s="6">
        <f t="shared" si="0"/>
        <v>2048</v>
      </c>
      <c r="AX5" s="6">
        <f t="shared" si="0"/>
        <v>2049</v>
      </c>
      <c r="AY5" s="6">
        <f t="shared" si="0"/>
        <v>2050</v>
      </c>
      <c r="AZ5" s="6">
        <f t="shared" si="0"/>
        <v>2051</v>
      </c>
      <c r="BA5" s="6">
        <f t="shared" si="0"/>
        <v>2052</v>
      </c>
      <c r="BB5" s="6">
        <f t="shared" si="0"/>
        <v>2053</v>
      </c>
      <c r="BC5" s="6">
        <f t="shared" si="0"/>
        <v>2054</v>
      </c>
      <c r="BD5" s="6">
        <f t="shared" si="0"/>
        <v>2055</v>
      </c>
      <c r="BE5" s="6">
        <f t="shared" si="0"/>
        <v>2056</v>
      </c>
      <c r="BF5" s="6">
        <f t="shared" si="0"/>
        <v>2057</v>
      </c>
      <c r="BG5" s="6">
        <f t="shared" si="0"/>
        <v>2058</v>
      </c>
      <c r="BH5" s="6">
        <f t="shared" si="0"/>
        <v>2059</v>
      </c>
      <c r="BI5" s="6">
        <f t="shared" si="0"/>
        <v>2060</v>
      </c>
    </row>
    <row r="6" spans="1:61">
      <c r="A6" s="8" t="s">
        <v>371</v>
      </c>
      <c r="B6" s="13"/>
      <c r="C6" s="13"/>
      <c r="D6" s="13"/>
      <c r="E6" s="13"/>
      <c r="F6" s="13"/>
      <c r="G6" s="13"/>
      <c r="H6" s="13"/>
      <c r="I6" s="13"/>
      <c r="J6" s="13"/>
      <c r="K6" s="13"/>
      <c r="L6" s="13"/>
      <c r="M6" s="13"/>
      <c r="N6" s="215">
        <f>Indeksacja!N$65</f>
        <v>1</v>
      </c>
      <c r="O6" s="111">
        <f>Indeksacja!O$65</f>
        <v>0.98799999999999999</v>
      </c>
      <c r="P6" s="111">
        <f>Indeksacja!P$65</f>
        <v>0.995</v>
      </c>
      <c r="Q6" s="111">
        <f>Indeksacja!Q$65</f>
        <v>0.996</v>
      </c>
      <c r="R6" s="111">
        <f>Indeksacja!R$65</f>
        <v>1.006</v>
      </c>
      <c r="S6" s="111">
        <f>Indeksacja!S$65</f>
        <v>1.0270000000000001</v>
      </c>
      <c r="T6" s="111">
        <f>Indeksacja!T$65</f>
        <v>1.0349999999999999</v>
      </c>
      <c r="U6" s="111">
        <f>Indeksacja!U$65</f>
        <v>1.026</v>
      </c>
      <c r="V6" s="111">
        <f>Indeksacja!V$65</f>
        <v>1.042</v>
      </c>
      <c r="W6" s="111">
        <f>Indeksacja!W$65</f>
        <v>1.127</v>
      </c>
      <c r="X6" s="111">
        <f>Indeksacja!X$65</f>
        <v>1.1020000000000001</v>
      </c>
      <c r="Y6" s="111">
        <f>Indeksacja!Y$65</f>
        <v>1</v>
      </c>
      <c r="Z6" s="111">
        <f>Indeksacja!Z$65</f>
        <v>1</v>
      </c>
      <c r="AA6" s="111">
        <f>Indeksacja!AA$65</f>
        <v>1</v>
      </c>
      <c r="AB6" s="111">
        <f>Indeksacja!AB$65</f>
        <v>1</v>
      </c>
      <c r="AC6" s="111">
        <f>Indeksacja!AC$65</f>
        <v>1</v>
      </c>
      <c r="AD6" s="111">
        <f>Indeksacja!AD$65</f>
        <v>1</v>
      </c>
      <c r="AE6" s="111">
        <f>Indeksacja!AE$65</f>
        <v>1</v>
      </c>
      <c r="AF6" s="111">
        <f>Indeksacja!AF$65</f>
        <v>1</v>
      </c>
      <c r="AG6" s="111">
        <f>Indeksacja!AG$65</f>
        <v>1</v>
      </c>
      <c r="AH6" s="111">
        <f>Indeksacja!AH$65</f>
        <v>1</v>
      </c>
      <c r="AI6" s="111">
        <f>Indeksacja!AI$65</f>
        <v>1</v>
      </c>
      <c r="AJ6" s="111">
        <f>Indeksacja!AJ$65</f>
        <v>1</v>
      </c>
      <c r="AK6" s="111">
        <f>Indeksacja!AK$65</f>
        <v>1</v>
      </c>
      <c r="AL6" s="111">
        <f>Indeksacja!AL$65</f>
        <v>1</v>
      </c>
      <c r="AM6" s="111">
        <f>Indeksacja!AM$65</f>
        <v>1</v>
      </c>
      <c r="AN6" s="111">
        <f>Indeksacja!AN$65</f>
        <v>1</v>
      </c>
      <c r="AO6" s="111">
        <f>Indeksacja!AO$65</f>
        <v>1</v>
      </c>
      <c r="AP6" s="111">
        <f>Indeksacja!AP$65</f>
        <v>1</v>
      </c>
      <c r="AQ6" s="111">
        <f>Indeksacja!AQ$65</f>
        <v>1</v>
      </c>
      <c r="AR6" s="111">
        <f>Indeksacja!AR$65</f>
        <v>1</v>
      </c>
      <c r="AS6" s="111">
        <f>Indeksacja!AS$65</f>
        <v>1</v>
      </c>
      <c r="AT6" s="111">
        <f>Indeksacja!AT$65</f>
        <v>1</v>
      </c>
      <c r="AU6" s="111">
        <f>Indeksacja!AU$65</f>
        <v>1</v>
      </c>
      <c r="AV6" s="111">
        <f>Indeksacja!AV$65</f>
        <v>1</v>
      </c>
      <c r="AW6" s="111">
        <f>Indeksacja!AW$65</f>
        <v>1</v>
      </c>
      <c r="AX6" s="111">
        <f>Indeksacja!AX$65</f>
        <v>1</v>
      </c>
      <c r="AY6" s="111">
        <f>Indeksacja!AY$65</f>
        <v>1</v>
      </c>
      <c r="AZ6" s="111">
        <f>Indeksacja!AZ$65</f>
        <v>1</v>
      </c>
      <c r="BA6" s="111">
        <f>Indeksacja!BA$65</f>
        <v>1</v>
      </c>
      <c r="BB6" s="111">
        <f>Indeksacja!BB$65</f>
        <v>1</v>
      </c>
      <c r="BC6" s="111">
        <f>Indeksacja!BC$65</f>
        <v>1</v>
      </c>
      <c r="BD6" s="111">
        <f>Indeksacja!BD$65</f>
        <v>1</v>
      </c>
      <c r="BE6" s="111">
        <f>Indeksacja!BE$65</f>
        <v>1</v>
      </c>
      <c r="BF6" s="111">
        <f>Indeksacja!BF$65</f>
        <v>1</v>
      </c>
      <c r="BG6" s="111">
        <f>Indeksacja!BG$65</f>
        <v>1</v>
      </c>
      <c r="BH6" s="111">
        <f>Indeksacja!BH$65</f>
        <v>1</v>
      </c>
      <c r="BI6" s="111">
        <f>Indeksacja!BI$65</f>
        <v>1</v>
      </c>
    </row>
    <row r="7" spans="1:61">
      <c r="A7" s="762" t="s">
        <v>811</v>
      </c>
      <c r="B7" s="762"/>
      <c r="C7" s="762"/>
      <c r="D7" s="762"/>
      <c r="E7" s="762"/>
      <c r="F7" s="762"/>
      <c r="G7" s="762"/>
      <c r="H7" s="762"/>
      <c r="I7" s="762"/>
      <c r="J7" s="762"/>
      <c r="K7" s="762"/>
      <c r="L7" s="762"/>
      <c r="M7" s="762"/>
      <c r="N7" s="762"/>
      <c r="O7" s="762"/>
      <c r="P7" s="762"/>
      <c r="Q7" s="762"/>
      <c r="R7" s="762"/>
      <c r="S7" s="762"/>
      <c r="T7" s="762"/>
      <c r="U7" s="762"/>
    </row>
    <row r="8" spans="1:61" s="672" customFormat="1">
      <c r="A8" s="754"/>
      <c r="B8" s="754"/>
      <c r="C8" s="754"/>
      <c r="D8" s="754"/>
      <c r="E8" s="754"/>
      <c r="F8" s="754"/>
      <c r="G8" s="754"/>
      <c r="H8" s="754"/>
      <c r="I8" s="754"/>
      <c r="J8" s="754"/>
      <c r="K8" s="754"/>
      <c r="L8" s="754"/>
      <c r="M8" s="754"/>
      <c r="N8" s="754"/>
      <c r="O8" s="754"/>
      <c r="P8" s="754"/>
      <c r="Q8" s="754"/>
      <c r="R8" s="754"/>
      <c r="S8" s="754"/>
      <c r="T8" s="754"/>
      <c r="U8" s="754"/>
    </row>
    <row r="9" spans="1:61">
      <c r="A9" s="754"/>
      <c r="B9" s="754"/>
      <c r="C9" s="754"/>
      <c r="D9" s="754"/>
      <c r="E9" s="754"/>
      <c r="F9" s="754"/>
      <c r="G9" s="754"/>
      <c r="H9" s="754"/>
      <c r="I9" s="754"/>
      <c r="J9" s="754"/>
      <c r="K9" s="754"/>
      <c r="L9" s="754"/>
      <c r="M9" s="754"/>
      <c r="N9" s="754"/>
      <c r="O9" s="754"/>
      <c r="P9" s="754"/>
      <c r="Q9" s="754"/>
      <c r="R9" s="754"/>
      <c r="S9" s="754"/>
      <c r="T9" s="754"/>
      <c r="U9" s="754"/>
    </row>
    <row r="10" spans="1:61"/>
    <row r="11" spans="1:61">
      <c r="A11" s="187" t="s">
        <v>929</v>
      </c>
    </row>
    <row r="12" spans="1:61">
      <c r="T12" s="536"/>
      <c r="U12" s="536"/>
    </row>
    <row r="13" spans="1:61">
      <c r="A13" s="757" t="s">
        <v>812</v>
      </c>
      <c r="B13" s="663" t="s">
        <v>309</v>
      </c>
      <c r="C13" s="649"/>
      <c r="D13" s="649"/>
      <c r="E13" s="649"/>
      <c r="F13" s="649"/>
      <c r="G13" s="649"/>
      <c r="H13" s="649"/>
      <c r="I13" s="649"/>
      <c r="J13" s="649"/>
      <c r="K13" s="649"/>
      <c r="L13" s="649"/>
      <c r="M13" s="652"/>
      <c r="N13" s="6"/>
      <c r="O13" s="6"/>
      <c r="P13" s="6"/>
      <c r="Q13" s="6"/>
      <c r="R13" s="6"/>
      <c r="S13" s="6"/>
      <c r="T13" s="6">
        <v>2020</v>
      </c>
      <c r="U13" s="6">
        <f>T13+1</f>
        <v>2021</v>
      </c>
      <c r="V13" s="6">
        <f t="shared" ref="V13:AK13" si="1">U13+1</f>
        <v>2022</v>
      </c>
      <c r="W13" s="6">
        <f t="shared" si="1"/>
        <v>2023</v>
      </c>
      <c r="X13" s="6">
        <f t="shared" si="1"/>
        <v>2024</v>
      </c>
      <c r="Y13" s="6">
        <f t="shared" si="1"/>
        <v>2025</v>
      </c>
      <c r="Z13" s="6">
        <f t="shared" si="1"/>
        <v>2026</v>
      </c>
      <c r="AA13" s="6">
        <f t="shared" si="1"/>
        <v>2027</v>
      </c>
      <c r="AB13" s="6">
        <f t="shared" si="1"/>
        <v>2028</v>
      </c>
      <c r="AC13" s="6">
        <f t="shared" si="1"/>
        <v>2029</v>
      </c>
      <c r="AD13" s="6">
        <f t="shared" si="1"/>
        <v>2030</v>
      </c>
      <c r="AE13" s="6">
        <f t="shared" si="1"/>
        <v>2031</v>
      </c>
      <c r="AF13" s="6">
        <f t="shared" si="1"/>
        <v>2032</v>
      </c>
      <c r="AG13" s="6">
        <f t="shared" si="1"/>
        <v>2033</v>
      </c>
      <c r="AH13" s="6">
        <f t="shared" si="1"/>
        <v>2034</v>
      </c>
      <c r="AI13" s="6">
        <f t="shared" si="1"/>
        <v>2035</v>
      </c>
      <c r="AJ13" s="6">
        <f t="shared" si="1"/>
        <v>2036</v>
      </c>
      <c r="AK13" s="6">
        <f t="shared" si="1"/>
        <v>2037</v>
      </c>
      <c r="AL13" s="6">
        <f t="shared" ref="AL13:BA13" si="2">AK13+1</f>
        <v>2038</v>
      </c>
      <c r="AM13" s="6">
        <f t="shared" si="2"/>
        <v>2039</v>
      </c>
      <c r="AN13" s="6">
        <f t="shared" si="2"/>
        <v>2040</v>
      </c>
      <c r="AO13" s="6">
        <f t="shared" si="2"/>
        <v>2041</v>
      </c>
      <c r="AP13" s="6">
        <f t="shared" si="2"/>
        <v>2042</v>
      </c>
      <c r="AQ13" s="6">
        <f t="shared" si="2"/>
        <v>2043</v>
      </c>
      <c r="AR13" s="6">
        <f t="shared" si="2"/>
        <v>2044</v>
      </c>
      <c r="AS13" s="6">
        <f t="shared" si="2"/>
        <v>2045</v>
      </c>
      <c r="AT13" s="6">
        <f t="shared" si="2"/>
        <v>2046</v>
      </c>
      <c r="AU13" s="6">
        <f t="shared" si="2"/>
        <v>2047</v>
      </c>
      <c r="AV13" s="6">
        <f t="shared" si="2"/>
        <v>2048</v>
      </c>
      <c r="AW13" s="6">
        <f t="shared" si="2"/>
        <v>2049</v>
      </c>
      <c r="AX13" s="6">
        <f t="shared" si="2"/>
        <v>2050</v>
      </c>
      <c r="AY13" s="6">
        <f t="shared" si="2"/>
        <v>2051</v>
      </c>
      <c r="AZ13" s="6">
        <f t="shared" si="2"/>
        <v>2052</v>
      </c>
      <c r="BA13" s="6">
        <f t="shared" si="2"/>
        <v>2053</v>
      </c>
      <c r="BB13" s="6">
        <f t="shared" ref="BB13:BI13" si="3">BA13+1</f>
        <v>2054</v>
      </c>
      <c r="BC13" s="6">
        <f t="shared" si="3"/>
        <v>2055</v>
      </c>
      <c r="BD13" s="6">
        <f t="shared" si="3"/>
        <v>2056</v>
      </c>
      <c r="BE13" s="6">
        <f t="shared" si="3"/>
        <v>2057</v>
      </c>
      <c r="BF13" s="6">
        <f t="shared" si="3"/>
        <v>2058</v>
      </c>
      <c r="BG13" s="6">
        <f t="shared" si="3"/>
        <v>2059</v>
      </c>
      <c r="BH13" s="6">
        <f t="shared" si="3"/>
        <v>2060</v>
      </c>
      <c r="BI13" s="6">
        <f t="shared" si="3"/>
        <v>2061</v>
      </c>
    </row>
    <row r="14" spans="1:61">
      <c r="A14" s="758"/>
      <c r="B14" s="664" t="s">
        <v>510</v>
      </c>
      <c r="C14" s="647"/>
      <c r="D14" s="647"/>
      <c r="E14" s="647"/>
      <c r="F14" s="647"/>
      <c r="G14" s="647"/>
      <c r="H14" s="647"/>
      <c r="I14" s="647"/>
      <c r="J14" s="647"/>
      <c r="K14" s="647"/>
      <c r="L14" s="647"/>
      <c r="M14" s="665"/>
      <c r="N14" s="661">
        <f>DATE(2013,12,31)</f>
        <v>41639</v>
      </c>
      <c r="O14" s="661">
        <f>DATE(YEAR(N14+1),12,31)</f>
        <v>42004</v>
      </c>
      <c r="P14" s="661">
        <f t="shared" ref="P14:BI14" si="4">DATE(YEAR(O14+1),12,31)</f>
        <v>42369</v>
      </c>
      <c r="Q14" s="661">
        <f t="shared" si="4"/>
        <v>42735</v>
      </c>
      <c r="R14" s="661">
        <f t="shared" si="4"/>
        <v>43100</v>
      </c>
      <c r="S14" s="661">
        <f t="shared" si="4"/>
        <v>43465</v>
      </c>
      <c r="T14" s="661">
        <f t="shared" si="4"/>
        <v>43830</v>
      </c>
      <c r="U14" s="661">
        <f t="shared" si="4"/>
        <v>44196</v>
      </c>
      <c r="V14" s="661">
        <f t="shared" si="4"/>
        <v>44561</v>
      </c>
      <c r="W14" s="661">
        <f t="shared" si="4"/>
        <v>44926</v>
      </c>
      <c r="X14" s="661">
        <f t="shared" si="4"/>
        <v>45291</v>
      </c>
      <c r="Y14" s="661">
        <f t="shared" si="4"/>
        <v>45657</v>
      </c>
      <c r="Z14" s="661">
        <f t="shared" si="4"/>
        <v>46022</v>
      </c>
      <c r="AA14" s="661">
        <f t="shared" si="4"/>
        <v>46387</v>
      </c>
      <c r="AB14" s="661">
        <f t="shared" si="4"/>
        <v>46752</v>
      </c>
      <c r="AC14" s="661">
        <f t="shared" si="4"/>
        <v>47118</v>
      </c>
      <c r="AD14" s="661">
        <f t="shared" si="4"/>
        <v>47483</v>
      </c>
      <c r="AE14" s="661">
        <f t="shared" si="4"/>
        <v>47848</v>
      </c>
      <c r="AF14" s="661">
        <f t="shared" si="4"/>
        <v>48213</v>
      </c>
      <c r="AG14" s="661">
        <f t="shared" si="4"/>
        <v>48579</v>
      </c>
      <c r="AH14" s="661">
        <f t="shared" si="4"/>
        <v>48944</v>
      </c>
      <c r="AI14" s="661">
        <f t="shared" si="4"/>
        <v>49309</v>
      </c>
      <c r="AJ14" s="661">
        <f t="shared" si="4"/>
        <v>49674</v>
      </c>
      <c r="AK14" s="661">
        <f t="shared" si="4"/>
        <v>50040</v>
      </c>
      <c r="AL14" s="661">
        <f t="shared" si="4"/>
        <v>50405</v>
      </c>
      <c r="AM14" s="661">
        <f t="shared" si="4"/>
        <v>50770</v>
      </c>
      <c r="AN14" s="661">
        <f t="shared" si="4"/>
        <v>51135</v>
      </c>
      <c r="AO14" s="661">
        <f t="shared" si="4"/>
        <v>51501</v>
      </c>
      <c r="AP14" s="661">
        <f t="shared" si="4"/>
        <v>51866</v>
      </c>
      <c r="AQ14" s="661">
        <f t="shared" si="4"/>
        <v>52231</v>
      </c>
      <c r="AR14" s="661">
        <f t="shared" si="4"/>
        <v>52596</v>
      </c>
      <c r="AS14" s="661">
        <f t="shared" si="4"/>
        <v>52962</v>
      </c>
      <c r="AT14" s="661">
        <f t="shared" si="4"/>
        <v>53327</v>
      </c>
      <c r="AU14" s="661">
        <f t="shared" si="4"/>
        <v>53692</v>
      </c>
      <c r="AV14" s="661">
        <f t="shared" si="4"/>
        <v>54057</v>
      </c>
      <c r="AW14" s="661">
        <f t="shared" si="4"/>
        <v>54423</v>
      </c>
      <c r="AX14" s="661">
        <f t="shared" si="4"/>
        <v>54788</v>
      </c>
      <c r="AY14" s="661">
        <f t="shared" si="4"/>
        <v>55153</v>
      </c>
      <c r="AZ14" s="661">
        <f t="shared" si="4"/>
        <v>55518</v>
      </c>
      <c r="BA14" s="661">
        <f t="shared" si="4"/>
        <v>55884</v>
      </c>
      <c r="BB14" s="661">
        <f t="shared" si="4"/>
        <v>56249</v>
      </c>
      <c r="BC14" s="661">
        <f t="shared" si="4"/>
        <v>56614</v>
      </c>
      <c r="BD14" s="661">
        <f t="shared" si="4"/>
        <v>56979</v>
      </c>
      <c r="BE14" s="661">
        <f t="shared" si="4"/>
        <v>57345</v>
      </c>
      <c r="BF14" s="661">
        <f t="shared" si="4"/>
        <v>57710</v>
      </c>
      <c r="BG14" s="661">
        <f t="shared" si="4"/>
        <v>58075</v>
      </c>
      <c r="BH14" s="661">
        <f t="shared" si="4"/>
        <v>58440</v>
      </c>
      <c r="BI14" s="661">
        <f t="shared" si="4"/>
        <v>58806</v>
      </c>
    </row>
    <row r="15" spans="1:61">
      <c r="A15" s="8" t="s">
        <v>813</v>
      </c>
      <c r="B15" s="110" t="s">
        <v>374</v>
      </c>
      <c r="C15" s="75"/>
      <c r="D15" s="75"/>
      <c r="E15" s="75"/>
      <c r="F15" s="75"/>
      <c r="G15" s="75"/>
      <c r="H15" s="75"/>
      <c r="I15" s="75"/>
      <c r="J15" s="75"/>
      <c r="K15" s="75"/>
      <c r="L15" s="75"/>
      <c r="M15" s="539"/>
      <c r="N15" s="77">
        <v>180000</v>
      </c>
      <c r="O15" s="530">
        <f>N15*O$6</f>
        <v>177840</v>
      </c>
      <c r="P15" s="524">
        <f t="shared" ref="P15:AE20" si="5">O15*P$6</f>
        <v>176950.8</v>
      </c>
      <c r="Q15" s="524">
        <f t="shared" si="5"/>
        <v>176242.99679999999</v>
      </c>
      <c r="R15" s="524">
        <f t="shared" si="5"/>
        <v>177300.45478080001</v>
      </c>
      <c r="S15" s="524">
        <f t="shared" si="5"/>
        <v>182087.56705988164</v>
      </c>
      <c r="T15" s="578">
        <f t="shared" si="5"/>
        <v>188460.63190697748</v>
      </c>
      <c r="U15" s="578">
        <f t="shared" si="5"/>
        <v>193360.60833655889</v>
      </c>
      <c r="V15" s="580">
        <f>ROUND(U15*V$6,-(LEN(ROUND(U15*V$6,0))-2))</f>
        <v>200000</v>
      </c>
      <c r="W15" s="579">
        <f t="shared" ref="W15:W20" si="6">V15*W$6</f>
        <v>225400</v>
      </c>
      <c r="X15" s="524">
        <f t="shared" si="5"/>
        <v>248390.80000000002</v>
      </c>
      <c r="Y15" s="524">
        <f t="shared" si="5"/>
        <v>248390.80000000002</v>
      </c>
      <c r="Z15" s="524">
        <f t="shared" si="5"/>
        <v>248390.80000000002</v>
      </c>
      <c r="AA15" s="524">
        <f t="shared" si="5"/>
        <v>248390.80000000002</v>
      </c>
      <c r="AB15" s="524">
        <f t="shared" si="5"/>
        <v>248390.80000000002</v>
      </c>
      <c r="AC15" s="524">
        <f t="shared" si="5"/>
        <v>248390.80000000002</v>
      </c>
      <c r="AD15" s="524">
        <f t="shared" si="5"/>
        <v>248390.80000000002</v>
      </c>
      <c r="AE15" s="524">
        <f t="shared" si="5"/>
        <v>248390.80000000002</v>
      </c>
      <c r="AF15" s="524">
        <f t="shared" ref="AF15:AU20" si="7">AE15*AF$6</f>
        <v>248390.80000000002</v>
      </c>
      <c r="AG15" s="524">
        <f t="shared" si="7"/>
        <v>248390.80000000002</v>
      </c>
      <c r="AH15" s="524">
        <f t="shared" si="7"/>
        <v>248390.80000000002</v>
      </c>
      <c r="AI15" s="524">
        <f t="shared" si="7"/>
        <v>248390.80000000002</v>
      </c>
      <c r="AJ15" s="524">
        <f t="shared" si="7"/>
        <v>248390.80000000002</v>
      </c>
      <c r="AK15" s="524">
        <f t="shared" si="7"/>
        <v>248390.80000000002</v>
      </c>
      <c r="AL15" s="524">
        <f t="shared" si="7"/>
        <v>248390.80000000002</v>
      </c>
      <c r="AM15" s="524">
        <f t="shared" si="7"/>
        <v>248390.80000000002</v>
      </c>
      <c r="AN15" s="524">
        <f t="shared" si="7"/>
        <v>248390.80000000002</v>
      </c>
      <c r="AO15" s="524">
        <f t="shared" si="7"/>
        <v>248390.80000000002</v>
      </c>
      <c r="AP15" s="524">
        <f t="shared" si="7"/>
        <v>248390.80000000002</v>
      </c>
      <c r="AQ15" s="524">
        <f t="shared" si="7"/>
        <v>248390.80000000002</v>
      </c>
      <c r="AR15" s="524">
        <f t="shared" si="7"/>
        <v>248390.80000000002</v>
      </c>
      <c r="AS15" s="524">
        <f t="shared" si="7"/>
        <v>248390.80000000002</v>
      </c>
      <c r="AT15" s="524">
        <f t="shared" si="7"/>
        <v>248390.80000000002</v>
      </c>
      <c r="AU15" s="524">
        <f t="shared" si="7"/>
        <v>248390.80000000002</v>
      </c>
      <c r="AV15" s="524">
        <f t="shared" ref="AV15:BI20" si="8">AU15*AV$6</f>
        <v>248390.80000000002</v>
      </c>
      <c r="AW15" s="524">
        <f t="shared" si="8"/>
        <v>248390.80000000002</v>
      </c>
      <c r="AX15" s="524">
        <f t="shared" si="8"/>
        <v>248390.80000000002</v>
      </c>
      <c r="AY15" s="524">
        <f t="shared" si="8"/>
        <v>248390.80000000002</v>
      </c>
      <c r="AZ15" s="524">
        <f t="shared" si="8"/>
        <v>248390.80000000002</v>
      </c>
      <c r="BA15" s="524">
        <f t="shared" si="8"/>
        <v>248390.80000000002</v>
      </c>
      <c r="BB15" s="524">
        <f t="shared" si="8"/>
        <v>248390.80000000002</v>
      </c>
      <c r="BC15" s="524">
        <f t="shared" si="8"/>
        <v>248390.80000000002</v>
      </c>
      <c r="BD15" s="524">
        <f t="shared" si="8"/>
        <v>248390.80000000002</v>
      </c>
      <c r="BE15" s="524">
        <f t="shared" si="8"/>
        <v>248390.80000000002</v>
      </c>
      <c r="BF15" s="524">
        <f t="shared" si="8"/>
        <v>248390.80000000002</v>
      </c>
      <c r="BG15" s="524">
        <f t="shared" si="8"/>
        <v>248390.80000000002</v>
      </c>
      <c r="BH15" s="524">
        <f t="shared" si="8"/>
        <v>248390.80000000002</v>
      </c>
      <c r="BI15" s="524">
        <f t="shared" si="8"/>
        <v>248390.80000000002</v>
      </c>
    </row>
    <row r="16" spans="1:61">
      <c r="A16" s="8" t="s">
        <v>814</v>
      </c>
      <c r="B16" s="110" t="s">
        <v>374</v>
      </c>
      <c r="C16" s="75"/>
      <c r="D16" s="75"/>
      <c r="E16" s="75"/>
      <c r="F16" s="75"/>
      <c r="G16" s="75"/>
      <c r="H16" s="75"/>
      <c r="I16" s="75"/>
      <c r="J16" s="75"/>
      <c r="K16" s="75"/>
      <c r="L16" s="75"/>
      <c r="M16" s="539"/>
      <c r="N16" s="77">
        <v>130000</v>
      </c>
      <c r="O16" s="530">
        <f t="shared" ref="O16:O20" si="9">N16*O$6</f>
        <v>128440</v>
      </c>
      <c r="P16" s="524">
        <f t="shared" si="5"/>
        <v>127797.8</v>
      </c>
      <c r="Q16" s="524">
        <f t="shared" si="5"/>
        <v>127286.6088</v>
      </c>
      <c r="R16" s="524">
        <f t="shared" si="5"/>
        <v>128050.32845280001</v>
      </c>
      <c r="S16" s="524">
        <f t="shared" si="5"/>
        <v>131507.68732102562</v>
      </c>
      <c r="T16" s="578">
        <f t="shared" si="5"/>
        <v>136110.45637726149</v>
      </c>
      <c r="U16" s="578">
        <f t="shared" si="5"/>
        <v>139649.32824307028</v>
      </c>
      <c r="V16" s="580">
        <f t="shared" ref="V16:V20" si="10">ROUND(U16*V$6,-(LEN(ROUND(U16*V$6,0))-2))</f>
        <v>150000</v>
      </c>
      <c r="W16" s="579">
        <f t="shared" si="6"/>
        <v>169050</v>
      </c>
      <c r="X16" s="524">
        <f t="shared" si="5"/>
        <v>186293.1</v>
      </c>
      <c r="Y16" s="524">
        <f t="shared" si="5"/>
        <v>186293.1</v>
      </c>
      <c r="Z16" s="524">
        <f t="shared" si="5"/>
        <v>186293.1</v>
      </c>
      <c r="AA16" s="524">
        <f t="shared" si="5"/>
        <v>186293.1</v>
      </c>
      <c r="AB16" s="524">
        <f t="shared" si="5"/>
        <v>186293.1</v>
      </c>
      <c r="AC16" s="524">
        <f t="shared" si="5"/>
        <v>186293.1</v>
      </c>
      <c r="AD16" s="524">
        <f t="shared" si="5"/>
        <v>186293.1</v>
      </c>
      <c r="AE16" s="524">
        <f t="shared" si="5"/>
        <v>186293.1</v>
      </c>
      <c r="AF16" s="524">
        <f t="shared" si="7"/>
        <v>186293.1</v>
      </c>
      <c r="AG16" s="524">
        <f t="shared" si="7"/>
        <v>186293.1</v>
      </c>
      <c r="AH16" s="524">
        <f t="shared" si="7"/>
        <v>186293.1</v>
      </c>
      <c r="AI16" s="524">
        <f t="shared" si="7"/>
        <v>186293.1</v>
      </c>
      <c r="AJ16" s="524">
        <f t="shared" si="7"/>
        <v>186293.1</v>
      </c>
      <c r="AK16" s="524">
        <f t="shared" si="7"/>
        <v>186293.1</v>
      </c>
      <c r="AL16" s="524">
        <f t="shared" si="7"/>
        <v>186293.1</v>
      </c>
      <c r="AM16" s="524">
        <f t="shared" si="7"/>
        <v>186293.1</v>
      </c>
      <c r="AN16" s="524">
        <f t="shared" si="7"/>
        <v>186293.1</v>
      </c>
      <c r="AO16" s="524">
        <f t="shared" si="7"/>
        <v>186293.1</v>
      </c>
      <c r="AP16" s="524">
        <f t="shared" si="7"/>
        <v>186293.1</v>
      </c>
      <c r="AQ16" s="524">
        <f t="shared" si="7"/>
        <v>186293.1</v>
      </c>
      <c r="AR16" s="524">
        <f t="shared" si="7"/>
        <v>186293.1</v>
      </c>
      <c r="AS16" s="524">
        <f t="shared" si="7"/>
        <v>186293.1</v>
      </c>
      <c r="AT16" s="524">
        <f t="shared" si="7"/>
        <v>186293.1</v>
      </c>
      <c r="AU16" s="524">
        <f t="shared" si="7"/>
        <v>186293.1</v>
      </c>
      <c r="AV16" s="524">
        <f t="shared" si="8"/>
        <v>186293.1</v>
      </c>
      <c r="AW16" s="524">
        <f t="shared" si="8"/>
        <v>186293.1</v>
      </c>
      <c r="AX16" s="524">
        <f t="shared" si="8"/>
        <v>186293.1</v>
      </c>
      <c r="AY16" s="524">
        <f t="shared" si="8"/>
        <v>186293.1</v>
      </c>
      <c r="AZ16" s="524">
        <f t="shared" si="8"/>
        <v>186293.1</v>
      </c>
      <c r="BA16" s="524">
        <f t="shared" si="8"/>
        <v>186293.1</v>
      </c>
      <c r="BB16" s="524">
        <f t="shared" si="8"/>
        <v>186293.1</v>
      </c>
      <c r="BC16" s="524">
        <f t="shared" si="8"/>
        <v>186293.1</v>
      </c>
      <c r="BD16" s="524">
        <f t="shared" si="8"/>
        <v>186293.1</v>
      </c>
      <c r="BE16" s="524">
        <f t="shared" si="8"/>
        <v>186293.1</v>
      </c>
      <c r="BF16" s="524">
        <f t="shared" si="8"/>
        <v>186293.1</v>
      </c>
      <c r="BG16" s="524">
        <f t="shared" si="8"/>
        <v>186293.1</v>
      </c>
      <c r="BH16" s="524">
        <f t="shared" si="8"/>
        <v>186293.1</v>
      </c>
      <c r="BI16" s="524">
        <f t="shared" si="8"/>
        <v>186293.1</v>
      </c>
    </row>
    <row r="17" spans="1:61">
      <c r="A17" s="8" t="s">
        <v>815</v>
      </c>
      <c r="B17" s="110" t="s">
        <v>374</v>
      </c>
      <c r="C17" s="75"/>
      <c r="D17" s="75"/>
      <c r="E17" s="75"/>
      <c r="F17" s="75"/>
      <c r="G17" s="75"/>
      <c r="H17" s="75"/>
      <c r="I17" s="75"/>
      <c r="J17" s="75"/>
      <c r="K17" s="75"/>
      <c r="L17" s="75"/>
      <c r="M17" s="539"/>
      <c r="N17" s="77">
        <v>100000</v>
      </c>
      <c r="O17" s="530">
        <f t="shared" si="9"/>
        <v>98800</v>
      </c>
      <c r="P17" s="524">
        <f t="shared" si="5"/>
        <v>98306</v>
      </c>
      <c r="Q17" s="524">
        <f t="shared" si="5"/>
        <v>97912.775999999998</v>
      </c>
      <c r="R17" s="524">
        <f t="shared" si="5"/>
        <v>98500.252655999997</v>
      </c>
      <c r="S17" s="524">
        <f t="shared" si="5"/>
        <v>101159.75947771201</v>
      </c>
      <c r="T17" s="578">
        <f t="shared" si="5"/>
        <v>104700.35105943192</v>
      </c>
      <c r="U17" s="578">
        <f t="shared" si="5"/>
        <v>107422.56018697715</v>
      </c>
      <c r="V17" s="580">
        <f t="shared" si="10"/>
        <v>110000</v>
      </c>
      <c r="W17" s="579">
        <f t="shared" si="6"/>
        <v>123970</v>
      </c>
      <c r="X17" s="524">
        <f t="shared" si="5"/>
        <v>136614.94</v>
      </c>
      <c r="Y17" s="524">
        <f t="shared" si="5"/>
        <v>136614.94</v>
      </c>
      <c r="Z17" s="524">
        <f t="shared" si="5"/>
        <v>136614.94</v>
      </c>
      <c r="AA17" s="524">
        <f t="shared" si="5"/>
        <v>136614.94</v>
      </c>
      <c r="AB17" s="524">
        <f t="shared" si="5"/>
        <v>136614.94</v>
      </c>
      <c r="AC17" s="524">
        <f t="shared" si="5"/>
        <v>136614.94</v>
      </c>
      <c r="AD17" s="524">
        <f t="shared" si="5"/>
        <v>136614.94</v>
      </c>
      <c r="AE17" s="524">
        <f t="shared" si="5"/>
        <v>136614.94</v>
      </c>
      <c r="AF17" s="524">
        <f t="shared" si="7"/>
        <v>136614.94</v>
      </c>
      <c r="AG17" s="524">
        <f t="shared" si="7"/>
        <v>136614.94</v>
      </c>
      <c r="AH17" s="524">
        <f t="shared" si="7"/>
        <v>136614.94</v>
      </c>
      <c r="AI17" s="524">
        <f t="shared" si="7"/>
        <v>136614.94</v>
      </c>
      <c r="AJ17" s="524">
        <f t="shared" si="7"/>
        <v>136614.94</v>
      </c>
      <c r="AK17" s="524">
        <f t="shared" si="7"/>
        <v>136614.94</v>
      </c>
      <c r="AL17" s="524">
        <f t="shared" si="7"/>
        <v>136614.94</v>
      </c>
      <c r="AM17" s="524">
        <f t="shared" si="7"/>
        <v>136614.94</v>
      </c>
      <c r="AN17" s="524">
        <f t="shared" si="7"/>
        <v>136614.94</v>
      </c>
      <c r="AO17" s="524">
        <f t="shared" si="7"/>
        <v>136614.94</v>
      </c>
      <c r="AP17" s="524">
        <f t="shared" si="7"/>
        <v>136614.94</v>
      </c>
      <c r="AQ17" s="524">
        <f t="shared" si="7"/>
        <v>136614.94</v>
      </c>
      <c r="AR17" s="524">
        <f t="shared" si="7"/>
        <v>136614.94</v>
      </c>
      <c r="AS17" s="524">
        <f t="shared" si="7"/>
        <v>136614.94</v>
      </c>
      <c r="AT17" s="524">
        <f t="shared" si="7"/>
        <v>136614.94</v>
      </c>
      <c r="AU17" s="524">
        <f t="shared" si="7"/>
        <v>136614.94</v>
      </c>
      <c r="AV17" s="524">
        <f t="shared" si="8"/>
        <v>136614.94</v>
      </c>
      <c r="AW17" s="524">
        <f t="shared" si="8"/>
        <v>136614.94</v>
      </c>
      <c r="AX17" s="524">
        <f t="shared" si="8"/>
        <v>136614.94</v>
      </c>
      <c r="AY17" s="524">
        <f t="shared" si="8"/>
        <v>136614.94</v>
      </c>
      <c r="AZ17" s="524">
        <f t="shared" si="8"/>
        <v>136614.94</v>
      </c>
      <c r="BA17" s="524">
        <f t="shared" si="8"/>
        <v>136614.94</v>
      </c>
      <c r="BB17" s="524">
        <f t="shared" si="8"/>
        <v>136614.94</v>
      </c>
      <c r="BC17" s="524">
        <f t="shared" si="8"/>
        <v>136614.94</v>
      </c>
      <c r="BD17" s="524">
        <f t="shared" si="8"/>
        <v>136614.94</v>
      </c>
      <c r="BE17" s="524">
        <f t="shared" si="8"/>
        <v>136614.94</v>
      </c>
      <c r="BF17" s="524">
        <f t="shared" si="8"/>
        <v>136614.94</v>
      </c>
      <c r="BG17" s="524">
        <f t="shared" si="8"/>
        <v>136614.94</v>
      </c>
      <c r="BH17" s="524">
        <f t="shared" si="8"/>
        <v>136614.94</v>
      </c>
      <c r="BI17" s="524">
        <f t="shared" si="8"/>
        <v>136614.94</v>
      </c>
    </row>
    <row r="18" spans="1:61">
      <c r="A18" s="8" t="s">
        <v>816</v>
      </c>
      <c r="B18" s="110" t="s">
        <v>374</v>
      </c>
      <c r="C18" s="75"/>
      <c r="D18" s="75"/>
      <c r="E18" s="75"/>
      <c r="F18" s="75"/>
      <c r="G18" s="75"/>
      <c r="H18" s="75"/>
      <c r="I18" s="75"/>
      <c r="J18" s="75"/>
      <c r="K18" s="75"/>
      <c r="L18" s="75"/>
      <c r="M18" s="539"/>
      <c r="N18" s="77">
        <v>120000</v>
      </c>
      <c r="O18" s="530">
        <f t="shared" si="9"/>
        <v>118560</v>
      </c>
      <c r="P18" s="524">
        <f t="shared" si="5"/>
        <v>117967.2</v>
      </c>
      <c r="Q18" s="524">
        <f t="shared" si="5"/>
        <v>117495.3312</v>
      </c>
      <c r="R18" s="524">
        <f t="shared" si="5"/>
        <v>118200.3031872</v>
      </c>
      <c r="S18" s="524">
        <f t="shared" si="5"/>
        <v>121391.71137325441</v>
      </c>
      <c r="T18" s="578">
        <f t="shared" si="5"/>
        <v>125640.42127131831</v>
      </c>
      <c r="U18" s="578">
        <f t="shared" si="5"/>
        <v>128907.07222437259</v>
      </c>
      <c r="V18" s="580">
        <f t="shared" si="10"/>
        <v>130000</v>
      </c>
      <c r="W18" s="579">
        <f t="shared" si="6"/>
        <v>146510</v>
      </c>
      <c r="X18" s="524">
        <f t="shared" si="5"/>
        <v>161454.02000000002</v>
      </c>
      <c r="Y18" s="524">
        <f t="shared" si="5"/>
        <v>161454.02000000002</v>
      </c>
      <c r="Z18" s="524">
        <f t="shared" si="5"/>
        <v>161454.02000000002</v>
      </c>
      <c r="AA18" s="524">
        <f t="shared" si="5"/>
        <v>161454.02000000002</v>
      </c>
      <c r="AB18" s="524">
        <f t="shared" si="5"/>
        <v>161454.02000000002</v>
      </c>
      <c r="AC18" s="524">
        <f t="shared" si="5"/>
        <v>161454.02000000002</v>
      </c>
      <c r="AD18" s="524">
        <f t="shared" si="5"/>
        <v>161454.02000000002</v>
      </c>
      <c r="AE18" s="524">
        <f t="shared" si="5"/>
        <v>161454.02000000002</v>
      </c>
      <c r="AF18" s="524">
        <f t="shared" si="7"/>
        <v>161454.02000000002</v>
      </c>
      <c r="AG18" s="524">
        <f t="shared" si="7"/>
        <v>161454.02000000002</v>
      </c>
      <c r="AH18" s="524">
        <f t="shared" si="7"/>
        <v>161454.02000000002</v>
      </c>
      <c r="AI18" s="524">
        <f t="shared" si="7"/>
        <v>161454.02000000002</v>
      </c>
      <c r="AJ18" s="524">
        <f t="shared" si="7"/>
        <v>161454.02000000002</v>
      </c>
      <c r="AK18" s="524">
        <f t="shared" si="7"/>
        <v>161454.02000000002</v>
      </c>
      <c r="AL18" s="524">
        <f t="shared" si="7"/>
        <v>161454.02000000002</v>
      </c>
      <c r="AM18" s="524">
        <f t="shared" si="7"/>
        <v>161454.02000000002</v>
      </c>
      <c r="AN18" s="524">
        <f t="shared" si="7"/>
        <v>161454.02000000002</v>
      </c>
      <c r="AO18" s="524">
        <f t="shared" si="7"/>
        <v>161454.02000000002</v>
      </c>
      <c r="AP18" s="524">
        <f t="shared" si="7"/>
        <v>161454.02000000002</v>
      </c>
      <c r="AQ18" s="524">
        <f t="shared" si="7"/>
        <v>161454.02000000002</v>
      </c>
      <c r="AR18" s="524">
        <f t="shared" si="7"/>
        <v>161454.02000000002</v>
      </c>
      <c r="AS18" s="524">
        <f t="shared" si="7"/>
        <v>161454.02000000002</v>
      </c>
      <c r="AT18" s="524">
        <f t="shared" si="7"/>
        <v>161454.02000000002</v>
      </c>
      <c r="AU18" s="524">
        <f t="shared" si="7"/>
        <v>161454.02000000002</v>
      </c>
      <c r="AV18" s="524">
        <f t="shared" si="8"/>
        <v>161454.02000000002</v>
      </c>
      <c r="AW18" s="524">
        <f t="shared" si="8"/>
        <v>161454.02000000002</v>
      </c>
      <c r="AX18" s="524">
        <f t="shared" si="8"/>
        <v>161454.02000000002</v>
      </c>
      <c r="AY18" s="524">
        <f t="shared" si="8"/>
        <v>161454.02000000002</v>
      </c>
      <c r="AZ18" s="524">
        <f t="shared" si="8"/>
        <v>161454.02000000002</v>
      </c>
      <c r="BA18" s="524">
        <f t="shared" si="8"/>
        <v>161454.02000000002</v>
      </c>
      <c r="BB18" s="524">
        <f t="shared" si="8"/>
        <v>161454.02000000002</v>
      </c>
      <c r="BC18" s="524">
        <f t="shared" si="8"/>
        <v>161454.02000000002</v>
      </c>
      <c r="BD18" s="524">
        <f t="shared" si="8"/>
        <v>161454.02000000002</v>
      </c>
      <c r="BE18" s="524">
        <f t="shared" si="8"/>
        <v>161454.02000000002</v>
      </c>
      <c r="BF18" s="524">
        <f t="shared" si="8"/>
        <v>161454.02000000002</v>
      </c>
      <c r="BG18" s="524">
        <f t="shared" si="8"/>
        <v>161454.02000000002</v>
      </c>
      <c r="BH18" s="524">
        <f t="shared" si="8"/>
        <v>161454.02000000002</v>
      </c>
      <c r="BI18" s="524">
        <f t="shared" si="8"/>
        <v>161454.02000000002</v>
      </c>
    </row>
    <row r="19" spans="1:61">
      <c r="A19" s="8" t="s">
        <v>817</v>
      </c>
      <c r="B19" s="110" t="s">
        <v>374</v>
      </c>
      <c r="C19" s="75"/>
      <c r="D19" s="75"/>
      <c r="E19" s="75"/>
      <c r="F19" s="75"/>
      <c r="G19" s="75"/>
      <c r="H19" s="75"/>
      <c r="I19" s="75"/>
      <c r="J19" s="75"/>
      <c r="K19" s="75"/>
      <c r="L19" s="75"/>
      <c r="M19" s="539"/>
      <c r="N19" s="77">
        <v>60000</v>
      </c>
      <c r="O19" s="530">
        <f t="shared" si="9"/>
        <v>59280</v>
      </c>
      <c r="P19" s="524">
        <f t="shared" si="5"/>
        <v>58983.6</v>
      </c>
      <c r="Q19" s="524">
        <f t="shared" si="5"/>
        <v>58747.6656</v>
      </c>
      <c r="R19" s="524">
        <f t="shared" si="5"/>
        <v>59100.1515936</v>
      </c>
      <c r="S19" s="524">
        <f t="shared" si="5"/>
        <v>60695.855686627205</v>
      </c>
      <c r="T19" s="578">
        <f t="shared" si="5"/>
        <v>62820.210635659154</v>
      </c>
      <c r="U19" s="578">
        <f t="shared" si="5"/>
        <v>64453.536112186295</v>
      </c>
      <c r="V19" s="580">
        <f t="shared" si="10"/>
        <v>67000</v>
      </c>
      <c r="W19" s="579">
        <f t="shared" si="6"/>
        <v>75509</v>
      </c>
      <c r="X19" s="524">
        <f t="shared" si="5"/>
        <v>83210.918000000005</v>
      </c>
      <c r="Y19" s="524">
        <f t="shared" si="5"/>
        <v>83210.918000000005</v>
      </c>
      <c r="Z19" s="524">
        <f t="shared" si="5"/>
        <v>83210.918000000005</v>
      </c>
      <c r="AA19" s="524">
        <f t="shared" si="5"/>
        <v>83210.918000000005</v>
      </c>
      <c r="AB19" s="524">
        <f t="shared" si="5"/>
        <v>83210.918000000005</v>
      </c>
      <c r="AC19" s="524">
        <f t="shared" si="5"/>
        <v>83210.918000000005</v>
      </c>
      <c r="AD19" s="524">
        <f t="shared" si="5"/>
        <v>83210.918000000005</v>
      </c>
      <c r="AE19" s="524">
        <f t="shared" si="5"/>
        <v>83210.918000000005</v>
      </c>
      <c r="AF19" s="524">
        <f t="shared" si="7"/>
        <v>83210.918000000005</v>
      </c>
      <c r="AG19" s="524">
        <f t="shared" si="7"/>
        <v>83210.918000000005</v>
      </c>
      <c r="AH19" s="524">
        <f t="shared" si="7"/>
        <v>83210.918000000005</v>
      </c>
      <c r="AI19" s="524">
        <f t="shared" si="7"/>
        <v>83210.918000000005</v>
      </c>
      <c r="AJ19" s="524">
        <f t="shared" si="7"/>
        <v>83210.918000000005</v>
      </c>
      <c r="AK19" s="524">
        <f t="shared" si="7"/>
        <v>83210.918000000005</v>
      </c>
      <c r="AL19" s="524">
        <f t="shared" si="7"/>
        <v>83210.918000000005</v>
      </c>
      <c r="AM19" s="524">
        <f t="shared" si="7"/>
        <v>83210.918000000005</v>
      </c>
      <c r="AN19" s="524">
        <f t="shared" si="7"/>
        <v>83210.918000000005</v>
      </c>
      <c r="AO19" s="524">
        <f t="shared" si="7"/>
        <v>83210.918000000005</v>
      </c>
      <c r="AP19" s="524">
        <f t="shared" si="7"/>
        <v>83210.918000000005</v>
      </c>
      <c r="AQ19" s="524">
        <f t="shared" si="7"/>
        <v>83210.918000000005</v>
      </c>
      <c r="AR19" s="524">
        <f t="shared" si="7"/>
        <v>83210.918000000005</v>
      </c>
      <c r="AS19" s="524">
        <f t="shared" si="7"/>
        <v>83210.918000000005</v>
      </c>
      <c r="AT19" s="524">
        <f t="shared" si="7"/>
        <v>83210.918000000005</v>
      </c>
      <c r="AU19" s="524">
        <f t="shared" si="7"/>
        <v>83210.918000000005</v>
      </c>
      <c r="AV19" s="524">
        <f t="shared" si="8"/>
        <v>83210.918000000005</v>
      </c>
      <c r="AW19" s="524">
        <f t="shared" si="8"/>
        <v>83210.918000000005</v>
      </c>
      <c r="AX19" s="524">
        <f t="shared" si="8"/>
        <v>83210.918000000005</v>
      </c>
      <c r="AY19" s="524">
        <f t="shared" si="8"/>
        <v>83210.918000000005</v>
      </c>
      <c r="AZ19" s="524">
        <f t="shared" si="8"/>
        <v>83210.918000000005</v>
      </c>
      <c r="BA19" s="524">
        <f t="shared" si="8"/>
        <v>83210.918000000005</v>
      </c>
      <c r="BB19" s="524">
        <f t="shared" si="8"/>
        <v>83210.918000000005</v>
      </c>
      <c r="BC19" s="524">
        <f t="shared" si="8"/>
        <v>83210.918000000005</v>
      </c>
      <c r="BD19" s="524">
        <f t="shared" si="8"/>
        <v>83210.918000000005</v>
      </c>
      <c r="BE19" s="524">
        <f t="shared" si="8"/>
        <v>83210.918000000005</v>
      </c>
      <c r="BF19" s="524">
        <f t="shared" si="8"/>
        <v>83210.918000000005</v>
      </c>
      <c r="BG19" s="524">
        <f t="shared" si="8"/>
        <v>83210.918000000005</v>
      </c>
      <c r="BH19" s="524">
        <f t="shared" si="8"/>
        <v>83210.918000000005</v>
      </c>
      <c r="BI19" s="524">
        <f t="shared" si="8"/>
        <v>83210.918000000005</v>
      </c>
    </row>
    <row r="20" spans="1:61">
      <c r="A20" s="8" t="s">
        <v>379</v>
      </c>
      <c r="B20" s="110" t="s">
        <v>374</v>
      </c>
      <c r="C20" s="75"/>
      <c r="D20" s="75"/>
      <c r="E20" s="75"/>
      <c r="F20" s="75"/>
      <c r="G20" s="75"/>
      <c r="H20" s="75"/>
      <c r="I20" s="75"/>
      <c r="J20" s="75"/>
      <c r="K20" s="75"/>
      <c r="L20" s="75"/>
      <c r="M20" s="539"/>
      <c r="N20" s="77">
        <v>60000</v>
      </c>
      <c r="O20" s="530">
        <f t="shared" si="9"/>
        <v>59280</v>
      </c>
      <c r="P20" s="524">
        <f t="shared" si="5"/>
        <v>58983.6</v>
      </c>
      <c r="Q20" s="524">
        <f t="shared" si="5"/>
        <v>58747.6656</v>
      </c>
      <c r="R20" s="524">
        <f t="shared" si="5"/>
        <v>59100.1515936</v>
      </c>
      <c r="S20" s="524">
        <f t="shared" si="5"/>
        <v>60695.855686627205</v>
      </c>
      <c r="T20" s="578">
        <f t="shared" si="5"/>
        <v>62820.210635659154</v>
      </c>
      <c r="U20" s="578">
        <f t="shared" si="5"/>
        <v>64453.536112186295</v>
      </c>
      <c r="V20" s="580">
        <f t="shared" si="10"/>
        <v>67000</v>
      </c>
      <c r="W20" s="579">
        <f t="shared" si="6"/>
        <v>75509</v>
      </c>
      <c r="X20" s="524">
        <f t="shared" si="5"/>
        <v>83210.918000000005</v>
      </c>
      <c r="Y20" s="524">
        <f t="shared" si="5"/>
        <v>83210.918000000005</v>
      </c>
      <c r="Z20" s="524">
        <f t="shared" si="5"/>
        <v>83210.918000000005</v>
      </c>
      <c r="AA20" s="524">
        <f t="shared" si="5"/>
        <v>83210.918000000005</v>
      </c>
      <c r="AB20" s="524">
        <f t="shared" si="5"/>
        <v>83210.918000000005</v>
      </c>
      <c r="AC20" s="524">
        <f t="shared" si="5"/>
        <v>83210.918000000005</v>
      </c>
      <c r="AD20" s="524">
        <f t="shared" si="5"/>
        <v>83210.918000000005</v>
      </c>
      <c r="AE20" s="524">
        <f t="shared" si="5"/>
        <v>83210.918000000005</v>
      </c>
      <c r="AF20" s="524">
        <f t="shared" si="7"/>
        <v>83210.918000000005</v>
      </c>
      <c r="AG20" s="524">
        <f t="shared" si="7"/>
        <v>83210.918000000005</v>
      </c>
      <c r="AH20" s="524">
        <f t="shared" si="7"/>
        <v>83210.918000000005</v>
      </c>
      <c r="AI20" s="524">
        <f t="shared" si="7"/>
        <v>83210.918000000005</v>
      </c>
      <c r="AJ20" s="524">
        <f t="shared" si="7"/>
        <v>83210.918000000005</v>
      </c>
      <c r="AK20" s="524">
        <f t="shared" si="7"/>
        <v>83210.918000000005</v>
      </c>
      <c r="AL20" s="524">
        <f t="shared" si="7"/>
        <v>83210.918000000005</v>
      </c>
      <c r="AM20" s="524">
        <f t="shared" si="7"/>
        <v>83210.918000000005</v>
      </c>
      <c r="AN20" s="524">
        <f t="shared" si="7"/>
        <v>83210.918000000005</v>
      </c>
      <c r="AO20" s="524">
        <f t="shared" si="7"/>
        <v>83210.918000000005</v>
      </c>
      <c r="AP20" s="524">
        <f t="shared" si="7"/>
        <v>83210.918000000005</v>
      </c>
      <c r="AQ20" s="524">
        <f t="shared" si="7"/>
        <v>83210.918000000005</v>
      </c>
      <c r="AR20" s="524">
        <f t="shared" si="7"/>
        <v>83210.918000000005</v>
      </c>
      <c r="AS20" s="524">
        <f t="shared" si="7"/>
        <v>83210.918000000005</v>
      </c>
      <c r="AT20" s="524">
        <f t="shared" si="7"/>
        <v>83210.918000000005</v>
      </c>
      <c r="AU20" s="524">
        <f t="shared" si="7"/>
        <v>83210.918000000005</v>
      </c>
      <c r="AV20" s="524">
        <f t="shared" si="8"/>
        <v>83210.918000000005</v>
      </c>
      <c r="AW20" s="524">
        <f t="shared" si="8"/>
        <v>83210.918000000005</v>
      </c>
      <c r="AX20" s="524">
        <f t="shared" si="8"/>
        <v>83210.918000000005</v>
      </c>
      <c r="AY20" s="524">
        <f t="shared" si="8"/>
        <v>83210.918000000005</v>
      </c>
      <c r="AZ20" s="524">
        <f t="shared" si="8"/>
        <v>83210.918000000005</v>
      </c>
      <c r="BA20" s="524">
        <f t="shared" si="8"/>
        <v>83210.918000000005</v>
      </c>
      <c r="BB20" s="524">
        <f t="shared" si="8"/>
        <v>83210.918000000005</v>
      </c>
      <c r="BC20" s="524">
        <f t="shared" si="8"/>
        <v>83210.918000000005</v>
      </c>
      <c r="BD20" s="524">
        <f t="shared" si="8"/>
        <v>83210.918000000005</v>
      </c>
      <c r="BE20" s="524">
        <f t="shared" si="8"/>
        <v>83210.918000000005</v>
      </c>
      <c r="BF20" s="524">
        <f t="shared" si="8"/>
        <v>83210.918000000005</v>
      </c>
      <c r="BG20" s="524">
        <f t="shared" si="8"/>
        <v>83210.918000000005</v>
      </c>
      <c r="BH20" s="524">
        <f t="shared" si="8"/>
        <v>83210.918000000005</v>
      </c>
      <c r="BI20" s="524">
        <f t="shared" si="8"/>
        <v>83210.918000000005</v>
      </c>
    </row>
    <row r="21" spans="1:61">
      <c r="A21" s="531" t="s">
        <v>818</v>
      </c>
    </row>
    <row r="22" spans="1:61"/>
    <row r="23" spans="1:61"/>
    <row r="24" spans="1:61"/>
    <row r="25" spans="1:61"/>
    <row r="26" spans="1:61"/>
    <row r="27" spans="1:61" s="672" customFormat="1"/>
    <row r="28" spans="1:61" s="672" customFormat="1"/>
    <row r="29" spans="1:61" s="672" customFormat="1"/>
    <row r="30" spans="1:61" s="672" customFormat="1"/>
    <row r="31" spans="1:61" s="672" customFormat="1"/>
    <row r="32" spans="1:61" s="672" customFormat="1"/>
    <row r="33" spans="1:61"/>
    <row r="34" spans="1:61"/>
    <row r="35" spans="1:61">
      <c r="A35" s="187" t="s">
        <v>930</v>
      </c>
    </row>
    <row r="36" spans="1:61"/>
    <row r="37" spans="1:61">
      <c r="A37" s="757" t="s">
        <v>372</v>
      </c>
      <c r="B37" s="663" t="s">
        <v>309</v>
      </c>
      <c r="C37" s="649"/>
      <c r="D37" s="649"/>
      <c r="E37" s="649"/>
      <c r="F37" s="649"/>
      <c r="G37" s="649"/>
      <c r="H37" s="649"/>
      <c r="I37" s="649"/>
      <c r="J37" s="649"/>
      <c r="K37" s="649"/>
      <c r="L37" s="649"/>
      <c r="M37" s="652"/>
      <c r="N37" s="6"/>
      <c r="O37" s="6"/>
      <c r="P37" s="6"/>
      <c r="Q37" s="6"/>
      <c r="R37" s="6"/>
      <c r="S37" s="6"/>
      <c r="T37" s="6">
        <v>2020</v>
      </c>
      <c r="U37" s="6">
        <f>T37+1</f>
        <v>2021</v>
      </c>
      <c r="V37" s="6">
        <f t="shared" ref="V37:AK37" si="11">U37+1</f>
        <v>2022</v>
      </c>
      <c r="W37" s="6">
        <f t="shared" si="11"/>
        <v>2023</v>
      </c>
      <c r="X37" s="6">
        <f t="shared" si="11"/>
        <v>2024</v>
      </c>
      <c r="Y37" s="6">
        <f t="shared" si="11"/>
        <v>2025</v>
      </c>
      <c r="Z37" s="6">
        <f t="shared" si="11"/>
        <v>2026</v>
      </c>
      <c r="AA37" s="6">
        <f t="shared" si="11"/>
        <v>2027</v>
      </c>
      <c r="AB37" s="6">
        <f t="shared" si="11"/>
        <v>2028</v>
      </c>
      <c r="AC37" s="6">
        <f t="shared" si="11"/>
        <v>2029</v>
      </c>
      <c r="AD37" s="6">
        <f t="shared" si="11"/>
        <v>2030</v>
      </c>
      <c r="AE37" s="6">
        <f t="shared" si="11"/>
        <v>2031</v>
      </c>
      <c r="AF37" s="6">
        <f t="shared" si="11"/>
        <v>2032</v>
      </c>
      <c r="AG37" s="6">
        <f t="shared" si="11"/>
        <v>2033</v>
      </c>
      <c r="AH37" s="6">
        <f t="shared" si="11"/>
        <v>2034</v>
      </c>
      <c r="AI37" s="6">
        <f t="shared" si="11"/>
        <v>2035</v>
      </c>
      <c r="AJ37" s="6">
        <f t="shared" si="11"/>
        <v>2036</v>
      </c>
      <c r="AK37" s="6">
        <f t="shared" si="11"/>
        <v>2037</v>
      </c>
      <c r="AL37" s="6">
        <f t="shared" ref="AL37:BA37" si="12">AK37+1</f>
        <v>2038</v>
      </c>
      <c r="AM37" s="6">
        <f t="shared" si="12"/>
        <v>2039</v>
      </c>
      <c r="AN37" s="6">
        <f t="shared" si="12"/>
        <v>2040</v>
      </c>
      <c r="AO37" s="6">
        <f t="shared" si="12"/>
        <v>2041</v>
      </c>
      <c r="AP37" s="6">
        <f t="shared" si="12"/>
        <v>2042</v>
      </c>
      <c r="AQ37" s="6">
        <f t="shared" si="12"/>
        <v>2043</v>
      </c>
      <c r="AR37" s="6">
        <f t="shared" si="12"/>
        <v>2044</v>
      </c>
      <c r="AS37" s="6">
        <f t="shared" si="12"/>
        <v>2045</v>
      </c>
      <c r="AT37" s="6">
        <f t="shared" si="12"/>
        <v>2046</v>
      </c>
      <c r="AU37" s="6">
        <f t="shared" si="12"/>
        <v>2047</v>
      </c>
      <c r="AV37" s="6">
        <f t="shared" si="12"/>
        <v>2048</v>
      </c>
      <c r="AW37" s="6">
        <f t="shared" si="12"/>
        <v>2049</v>
      </c>
      <c r="AX37" s="6">
        <f t="shared" si="12"/>
        <v>2050</v>
      </c>
      <c r="AY37" s="6">
        <f t="shared" si="12"/>
        <v>2051</v>
      </c>
      <c r="AZ37" s="6">
        <f t="shared" si="12"/>
        <v>2052</v>
      </c>
      <c r="BA37" s="6">
        <f t="shared" si="12"/>
        <v>2053</v>
      </c>
      <c r="BB37" s="6">
        <f t="shared" ref="BB37:BI37" si="13">BA37+1</f>
        <v>2054</v>
      </c>
      <c r="BC37" s="6">
        <f t="shared" si="13"/>
        <v>2055</v>
      </c>
      <c r="BD37" s="6">
        <f t="shared" si="13"/>
        <v>2056</v>
      </c>
      <c r="BE37" s="6">
        <f t="shared" si="13"/>
        <v>2057</v>
      </c>
      <c r="BF37" s="6">
        <f t="shared" si="13"/>
        <v>2058</v>
      </c>
      <c r="BG37" s="6">
        <f t="shared" si="13"/>
        <v>2059</v>
      </c>
      <c r="BH37" s="6">
        <f t="shared" si="13"/>
        <v>2060</v>
      </c>
      <c r="BI37" s="6">
        <f t="shared" si="13"/>
        <v>2061</v>
      </c>
    </row>
    <row r="38" spans="1:61">
      <c r="A38" s="758"/>
      <c r="B38" s="664" t="s">
        <v>510</v>
      </c>
      <c r="C38" s="647"/>
      <c r="D38" s="647"/>
      <c r="E38" s="647"/>
      <c r="F38" s="647"/>
      <c r="G38" s="647"/>
      <c r="H38" s="647"/>
      <c r="I38" s="647"/>
      <c r="J38" s="647"/>
      <c r="K38" s="647"/>
      <c r="L38" s="647"/>
      <c r="M38" s="665"/>
      <c r="N38" s="661">
        <f>DATE(2013,12,31)</f>
        <v>41639</v>
      </c>
      <c r="O38" s="661">
        <f>DATE(YEAR(N38+1),12,31)</f>
        <v>42004</v>
      </c>
      <c r="P38" s="661">
        <f t="shared" ref="P38:BI38" si="14">DATE(YEAR(O38+1),12,31)</f>
        <v>42369</v>
      </c>
      <c r="Q38" s="661">
        <f t="shared" si="14"/>
        <v>42735</v>
      </c>
      <c r="R38" s="661">
        <f t="shared" si="14"/>
        <v>43100</v>
      </c>
      <c r="S38" s="661">
        <f t="shared" si="14"/>
        <v>43465</v>
      </c>
      <c r="T38" s="661">
        <f t="shared" si="14"/>
        <v>43830</v>
      </c>
      <c r="U38" s="661">
        <f t="shared" si="14"/>
        <v>44196</v>
      </c>
      <c r="V38" s="661">
        <f t="shared" si="14"/>
        <v>44561</v>
      </c>
      <c r="W38" s="661">
        <f t="shared" si="14"/>
        <v>44926</v>
      </c>
      <c r="X38" s="661">
        <f t="shared" si="14"/>
        <v>45291</v>
      </c>
      <c r="Y38" s="661">
        <f t="shared" si="14"/>
        <v>45657</v>
      </c>
      <c r="Z38" s="661">
        <f t="shared" si="14"/>
        <v>46022</v>
      </c>
      <c r="AA38" s="661">
        <f t="shared" si="14"/>
        <v>46387</v>
      </c>
      <c r="AB38" s="661">
        <f t="shared" si="14"/>
        <v>46752</v>
      </c>
      <c r="AC38" s="661">
        <f t="shared" si="14"/>
        <v>47118</v>
      </c>
      <c r="AD38" s="661">
        <f t="shared" si="14"/>
        <v>47483</v>
      </c>
      <c r="AE38" s="661">
        <f t="shared" si="14"/>
        <v>47848</v>
      </c>
      <c r="AF38" s="661">
        <f t="shared" si="14"/>
        <v>48213</v>
      </c>
      <c r="AG38" s="661">
        <f t="shared" si="14"/>
        <v>48579</v>
      </c>
      <c r="AH38" s="661">
        <f t="shared" si="14"/>
        <v>48944</v>
      </c>
      <c r="AI38" s="661">
        <f t="shared" si="14"/>
        <v>49309</v>
      </c>
      <c r="AJ38" s="661">
        <f t="shared" si="14"/>
        <v>49674</v>
      </c>
      <c r="AK38" s="661">
        <f t="shared" si="14"/>
        <v>50040</v>
      </c>
      <c r="AL38" s="661">
        <f t="shared" si="14"/>
        <v>50405</v>
      </c>
      <c r="AM38" s="661">
        <f t="shared" si="14"/>
        <v>50770</v>
      </c>
      <c r="AN38" s="661">
        <f t="shared" si="14"/>
        <v>51135</v>
      </c>
      <c r="AO38" s="661">
        <f t="shared" si="14"/>
        <v>51501</v>
      </c>
      <c r="AP38" s="661">
        <f t="shared" si="14"/>
        <v>51866</v>
      </c>
      <c r="AQ38" s="661">
        <f t="shared" si="14"/>
        <v>52231</v>
      </c>
      <c r="AR38" s="661">
        <f t="shared" si="14"/>
        <v>52596</v>
      </c>
      <c r="AS38" s="661">
        <f t="shared" si="14"/>
        <v>52962</v>
      </c>
      <c r="AT38" s="661">
        <f t="shared" si="14"/>
        <v>53327</v>
      </c>
      <c r="AU38" s="661">
        <f t="shared" si="14"/>
        <v>53692</v>
      </c>
      <c r="AV38" s="661">
        <f t="shared" si="14"/>
        <v>54057</v>
      </c>
      <c r="AW38" s="661">
        <f t="shared" si="14"/>
        <v>54423</v>
      </c>
      <c r="AX38" s="661">
        <f t="shared" si="14"/>
        <v>54788</v>
      </c>
      <c r="AY38" s="661">
        <f t="shared" si="14"/>
        <v>55153</v>
      </c>
      <c r="AZ38" s="661">
        <f t="shared" si="14"/>
        <v>55518</v>
      </c>
      <c r="BA38" s="661">
        <f t="shared" si="14"/>
        <v>55884</v>
      </c>
      <c r="BB38" s="661">
        <f t="shared" si="14"/>
        <v>56249</v>
      </c>
      <c r="BC38" s="661">
        <f t="shared" si="14"/>
        <v>56614</v>
      </c>
      <c r="BD38" s="661">
        <f t="shared" si="14"/>
        <v>56979</v>
      </c>
      <c r="BE38" s="661">
        <f t="shared" si="14"/>
        <v>57345</v>
      </c>
      <c r="BF38" s="661">
        <f t="shared" si="14"/>
        <v>57710</v>
      </c>
      <c r="BG38" s="661">
        <f t="shared" si="14"/>
        <v>58075</v>
      </c>
      <c r="BH38" s="661">
        <f t="shared" si="14"/>
        <v>58440</v>
      </c>
      <c r="BI38" s="661">
        <f t="shared" si="14"/>
        <v>58806</v>
      </c>
    </row>
    <row r="39" spans="1:61">
      <c r="A39" s="8" t="s">
        <v>373</v>
      </c>
      <c r="B39" s="110" t="s">
        <v>374</v>
      </c>
      <c r="C39" s="75"/>
      <c r="D39" s="75"/>
      <c r="E39" s="75"/>
      <c r="F39" s="75"/>
      <c r="G39" s="75"/>
      <c r="H39" s="75"/>
      <c r="I39" s="75"/>
      <c r="J39" s="75"/>
      <c r="K39" s="75"/>
      <c r="L39" s="75"/>
      <c r="M39" s="539"/>
      <c r="N39" s="77">
        <v>1400000</v>
      </c>
      <c r="O39" s="530">
        <f>N39*O$6</f>
        <v>1383200</v>
      </c>
      <c r="P39" s="524">
        <f t="shared" ref="P39:AE44" si="15">O39*P$6</f>
        <v>1376284</v>
      </c>
      <c r="Q39" s="524">
        <f t="shared" si="15"/>
        <v>1370778.8640000001</v>
      </c>
      <c r="R39" s="524">
        <f t="shared" si="15"/>
        <v>1379003.537184</v>
      </c>
      <c r="S39" s="524">
        <f t="shared" si="15"/>
        <v>1416236.6326879682</v>
      </c>
      <c r="T39" s="524">
        <f t="shared" si="15"/>
        <v>1465804.914832047</v>
      </c>
      <c r="U39" s="524">
        <f t="shared" si="15"/>
        <v>1503915.8426176803</v>
      </c>
      <c r="V39" s="580">
        <f>ROUND(U39*V$6,-(LEN(ROUND(U39*V$6,0))-2))</f>
        <v>1600000</v>
      </c>
      <c r="W39" s="524">
        <f t="shared" ref="W39:W44" si="16">V39*W$6</f>
        <v>1803200</v>
      </c>
      <c r="X39" s="524">
        <f t="shared" si="15"/>
        <v>1987126.4000000001</v>
      </c>
      <c r="Y39" s="524">
        <f t="shared" si="15"/>
        <v>1987126.4000000001</v>
      </c>
      <c r="Z39" s="524">
        <f t="shared" si="15"/>
        <v>1987126.4000000001</v>
      </c>
      <c r="AA39" s="524">
        <f t="shared" si="15"/>
        <v>1987126.4000000001</v>
      </c>
      <c r="AB39" s="524">
        <f t="shared" si="15"/>
        <v>1987126.4000000001</v>
      </c>
      <c r="AC39" s="524">
        <f t="shared" si="15"/>
        <v>1987126.4000000001</v>
      </c>
      <c r="AD39" s="524">
        <f t="shared" si="15"/>
        <v>1987126.4000000001</v>
      </c>
      <c r="AE39" s="524">
        <f t="shared" si="15"/>
        <v>1987126.4000000001</v>
      </c>
      <c r="AF39" s="524">
        <f t="shared" ref="AF39:AU44" si="17">AE39*AF$6</f>
        <v>1987126.4000000001</v>
      </c>
      <c r="AG39" s="524">
        <f t="shared" si="17"/>
        <v>1987126.4000000001</v>
      </c>
      <c r="AH39" s="524">
        <f t="shared" si="17"/>
        <v>1987126.4000000001</v>
      </c>
      <c r="AI39" s="524">
        <f t="shared" si="17"/>
        <v>1987126.4000000001</v>
      </c>
      <c r="AJ39" s="524">
        <f t="shared" si="17"/>
        <v>1987126.4000000001</v>
      </c>
      <c r="AK39" s="524">
        <f t="shared" si="17"/>
        <v>1987126.4000000001</v>
      </c>
      <c r="AL39" s="524">
        <f t="shared" si="17"/>
        <v>1987126.4000000001</v>
      </c>
      <c r="AM39" s="524">
        <f t="shared" si="17"/>
        <v>1987126.4000000001</v>
      </c>
      <c r="AN39" s="524">
        <f t="shared" si="17"/>
        <v>1987126.4000000001</v>
      </c>
      <c r="AO39" s="524">
        <f t="shared" si="17"/>
        <v>1987126.4000000001</v>
      </c>
      <c r="AP39" s="524">
        <f t="shared" si="17"/>
        <v>1987126.4000000001</v>
      </c>
      <c r="AQ39" s="524">
        <f t="shared" si="17"/>
        <v>1987126.4000000001</v>
      </c>
      <c r="AR39" s="524">
        <f t="shared" si="17"/>
        <v>1987126.4000000001</v>
      </c>
      <c r="AS39" s="524">
        <f t="shared" si="17"/>
        <v>1987126.4000000001</v>
      </c>
      <c r="AT39" s="524">
        <f t="shared" si="17"/>
        <v>1987126.4000000001</v>
      </c>
      <c r="AU39" s="524">
        <f t="shared" si="17"/>
        <v>1987126.4000000001</v>
      </c>
      <c r="AV39" s="524">
        <f t="shared" ref="AV39:BI44" si="18">AU39*AV$6</f>
        <v>1987126.4000000001</v>
      </c>
      <c r="AW39" s="524">
        <f t="shared" si="18"/>
        <v>1987126.4000000001</v>
      </c>
      <c r="AX39" s="524">
        <f t="shared" si="18"/>
        <v>1987126.4000000001</v>
      </c>
      <c r="AY39" s="524">
        <f t="shared" si="18"/>
        <v>1987126.4000000001</v>
      </c>
      <c r="AZ39" s="524">
        <f t="shared" si="18"/>
        <v>1987126.4000000001</v>
      </c>
      <c r="BA39" s="524">
        <f t="shared" si="18"/>
        <v>1987126.4000000001</v>
      </c>
      <c r="BB39" s="524">
        <f t="shared" si="18"/>
        <v>1987126.4000000001</v>
      </c>
      <c r="BC39" s="524">
        <f t="shared" si="18"/>
        <v>1987126.4000000001</v>
      </c>
      <c r="BD39" s="524">
        <f t="shared" si="18"/>
        <v>1987126.4000000001</v>
      </c>
      <c r="BE39" s="524">
        <f t="shared" si="18"/>
        <v>1987126.4000000001</v>
      </c>
      <c r="BF39" s="524">
        <f t="shared" si="18"/>
        <v>1987126.4000000001</v>
      </c>
      <c r="BG39" s="524">
        <f t="shared" si="18"/>
        <v>1987126.4000000001</v>
      </c>
      <c r="BH39" s="524">
        <f t="shared" si="18"/>
        <v>1987126.4000000001</v>
      </c>
      <c r="BI39" s="524">
        <f t="shared" si="18"/>
        <v>1987126.4000000001</v>
      </c>
    </row>
    <row r="40" spans="1:61">
      <c r="A40" s="8" t="s">
        <v>375</v>
      </c>
      <c r="B40" s="110" t="s">
        <v>374</v>
      </c>
      <c r="C40" s="75"/>
      <c r="D40" s="75"/>
      <c r="E40" s="75"/>
      <c r="F40" s="75"/>
      <c r="G40" s="75"/>
      <c r="H40" s="75"/>
      <c r="I40" s="75"/>
      <c r="J40" s="75"/>
      <c r="K40" s="75"/>
      <c r="L40" s="75"/>
      <c r="M40" s="539"/>
      <c r="N40" s="77">
        <v>1000000</v>
      </c>
      <c r="O40" s="530">
        <f t="shared" ref="O40:O44" si="19">N40*O$6</f>
        <v>988000</v>
      </c>
      <c r="P40" s="524">
        <f t="shared" si="15"/>
        <v>983060</v>
      </c>
      <c r="Q40" s="524">
        <f t="shared" si="15"/>
        <v>979127.76</v>
      </c>
      <c r="R40" s="524">
        <f t="shared" si="15"/>
        <v>985002.52656000003</v>
      </c>
      <c r="S40" s="524">
        <f t="shared" si="15"/>
        <v>1011597.5947771202</v>
      </c>
      <c r="T40" s="524">
        <f t="shared" si="15"/>
        <v>1047003.5105943193</v>
      </c>
      <c r="U40" s="524">
        <f t="shared" si="15"/>
        <v>1074225.6018697717</v>
      </c>
      <c r="V40" s="580">
        <f t="shared" ref="V40:V44" si="20">ROUND(U40*V$6,-(LEN(ROUND(U40*V$6,0))-2))</f>
        <v>1100000</v>
      </c>
      <c r="W40" s="524">
        <f t="shared" si="16"/>
        <v>1239700</v>
      </c>
      <c r="X40" s="524">
        <f t="shared" si="15"/>
        <v>1366149.4000000001</v>
      </c>
      <c r="Y40" s="524">
        <f t="shared" si="15"/>
        <v>1366149.4000000001</v>
      </c>
      <c r="Z40" s="524">
        <f t="shared" si="15"/>
        <v>1366149.4000000001</v>
      </c>
      <c r="AA40" s="524">
        <f t="shared" si="15"/>
        <v>1366149.4000000001</v>
      </c>
      <c r="AB40" s="524">
        <f t="shared" si="15"/>
        <v>1366149.4000000001</v>
      </c>
      <c r="AC40" s="524">
        <f t="shared" si="15"/>
        <v>1366149.4000000001</v>
      </c>
      <c r="AD40" s="524">
        <f t="shared" si="15"/>
        <v>1366149.4000000001</v>
      </c>
      <c r="AE40" s="524">
        <f t="shared" si="15"/>
        <v>1366149.4000000001</v>
      </c>
      <c r="AF40" s="524">
        <f t="shared" si="17"/>
        <v>1366149.4000000001</v>
      </c>
      <c r="AG40" s="524">
        <f t="shared" si="17"/>
        <v>1366149.4000000001</v>
      </c>
      <c r="AH40" s="524">
        <f t="shared" si="17"/>
        <v>1366149.4000000001</v>
      </c>
      <c r="AI40" s="524">
        <f t="shared" si="17"/>
        <v>1366149.4000000001</v>
      </c>
      <c r="AJ40" s="524">
        <f t="shared" si="17"/>
        <v>1366149.4000000001</v>
      </c>
      <c r="AK40" s="524">
        <f t="shared" si="17"/>
        <v>1366149.4000000001</v>
      </c>
      <c r="AL40" s="524">
        <f t="shared" si="17"/>
        <v>1366149.4000000001</v>
      </c>
      <c r="AM40" s="524">
        <f t="shared" si="17"/>
        <v>1366149.4000000001</v>
      </c>
      <c r="AN40" s="524">
        <f t="shared" si="17"/>
        <v>1366149.4000000001</v>
      </c>
      <c r="AO40" s="524">
        <f t="shared" si="17"/>
        <v>1366149.4000000001</v>
      </c>
      <c r="AP40" s="524">
        <f t="shared" si="17"/>
        <v>1366149.4000000001</v>
      </c>
      <c r="AQ40" s="524">
        <f t="shared" si="17"/>
        <v>1366149.4000000001</v>
      </c>
      <c r="AR40" s="524">
        <f t="shared" si="17"/>
        <v>1366149.4000000001</v>
      </c>
      <c r="AS40" s="524">
        <f t="shared" si="17"/>
        <v>1366149.4000000001</v>
      </c>
      <c r="AT40" s="524">
        <f t="shared" si="17"/>
        <v>1366149.4000000001</v>
      </c>
      <c r="AU40" s="524">
        <f t="shared" si="17"/>
        <v>1366149.4000000001</v>
      </c>
      <c r="AV40" s="524">
        <f t="shared" si="18"/>
        <v>1366149.4000000001</v>
      </c>
      <c r="AW40" s="524">
        <f t="shared" si="18"/>
        <v>1366149.4000000001</v>
      </c>
      <c r="AX40" s="524">
        <f t="shared" si="18"/>
        <v>1366149.4000000001</v>
      </c>
      <c r="AY40" s="524">
        <f t="shared" si="18"/>
        <v>1366149.4000000001</v>
      </c>
      <c r="AZ40" s="524">
        <f t="shared" si="18"/>
        <v>1366149.4000000001</v>
      </c>
      <c r="BA40" s="524">
        <f t="shared" si="18"/>
        <v>1366149.4000000001</v>
      </c>
      <c r="BB40" s="524">
        <f t="shared" si="18"/>
        <v>1366149.4000000001</v>
      </c>
      <c r="BC40" s="524">
        <f t="shared" si="18"/>
        <v>1366149.4000000001</v>
      </c>
      <c r="BD40" s="524">
        <f t="shared" si="18"/>
        <v>1366149.4000000001</v>
      </c>
      <c r="BE40" s="524">
        <f t="shared" si="18"/>
        <v>1366149.4000000001</v>
      </c>
      <c r="BF40" s="524">
        <f t="shared" si="18"/>
        <v>1366149.4000000001</v>
      </c>
      <c r="BG40" s="524">
        <f t="shared" si="18"/>
        <v>1366149.4000000001</v>
      </c>
      <c r="BH40" s="524">
        <f t="shared" si="18"/>
        <v>1366149.4000000001</v>
      </c>
      <c r="BI40" s="524">
        <f t="shared" si="18"/>
        <v>1366149.4000000001</v>
      </c>
    </row>
    <row r="41" spans="1:61">
      <c r="A41" s="8" t="s">
        <v>376</v>
      </c>
      <c r="B41" s="110" t="s">
        <v>374</v>
      </c>
      <c r="C41" s="75"/>
      <c r="D41" s="75"/>
      <c r="E41" s="75"/>
      <c r="F41" s="75"/>
      <c r="G41" s="75"/>
      <c r="H41" s="75"/>
      <c r="I41" s="75"/>
      <c r="J41" s="75"/>
      <c r="K41" s="75"/>
      <c r="L41" s="75"/>
      <c r="M41" s="539"/>
      <c r="N41" s="77">
        <v>800000</v>
      </c>
      <c r="O41" s="530">
        <f t="shared" si="19"/>
        <v>790400</v>
      </c>
      <c r="P41" s="524">
        <f t="shared" si="15"/>
        <v>786448</v>
      </c>
      <c r="Q41" s="524">
        <f t="shared" si="15"/>
        <v>783302.20799999998</v>
      </c>
      <c r="R41" s="524">
        <f t="shared" si="15"/>
        <v>788002.02124799998</v>
      </c>
      <c r="S41" s="524">
        <f t="shared" si="15"/>
        <v>809278.07582169608</v>
      </c>
      <c r="T41" s="524">
        <f t="shared" si="15"/>
        <v>837602.80847545539</v>
      </c>
      <c r="U41" s="524">
        <f t="shared" si="15"/>
        <v>859380.48149581719</v>
      </c>
      <c r="V41" s="580">
        <f t="shared" si="20"/>
        <v>900000</v>
      </c>
      <c r="W41" s="524">
        <f t="shared" si="16"/>
        <v>1014300</v>
      </c>
      <c r="X41" s="524">
        <f t="shared" si="15"/>
        <v>1117758.6000000001</v>
      </c>
      <c r="Y41" s="524">
        <f t="shared" si="15"/>
        <v>1117758.6000000001</v>
      </c>
      <c r="Z41" s="524">
        <f t="shared" si="15"/>
        <v>1117758.6000000001</v>
      </c>
      <c r="AA41" s="524">
        <f t="shared" si="15"/>
        <v>1117758.6000000001</v>
      </c>
      <c r="AB41" s="524">
        <f t="shared" si="15"/>
        <v>1117758.6000000001</v>
      </c>
      <c r="AC41" s="524">
        <f t="shared" si="15"/>
        <v>1117758.6000000001</v>
      </c>
      <c r="AD41" s="524">
        <f t="shared" si="15"/>
        <v>1117758.6000000001</v>
      </c>
      <c r="AE41" s="524">
        <f t="shared" si="15"/>
        <v>1117758.6000000001</v>
      </c>
      <c r="AF41" s="524">
        <f t="shared" si="17"/>
        <v>1117758.6000000001</v>
      </c>
      <c r="AG41" s="524">
        <f t="shared" si="17"/>
        <v>1117758.6000000001</v>
      </c>
      <c r="AH41" s="524">
        <f t="shared" si="17"/>
        <v>1117758.6000000001</v>
      </c>
      <c r="AI41" s="524">
        <f t="shared" si="17"/>
        <v>1117758.6000000001</v>
      </c>
      <c r="AJ41" s="524">
        <f t="shared" si="17"/>
        <v>1117758.6000000001</v>
      </c>
      <c r="AK41" s="524">
        <f t="shared" si="17"/>
        <v>1117758.6000000001</v>
      </c>
      <c r="AL41" s="524">
        <f t="shared" si="17"/>
        <v>1117758.6000000001</v>
      </c>
      <c r="AM41" s="524">
        <f t="shared" si="17"/>
        <v>1117758.6000000001</v>
      </c>
      <c r="AN41" s="524">
        <f t="shared" si="17"/>
        <v>1117758.6000000001</v>
      </c>
      <c r="AO41" s="524">
        <f t="shared" si="17"/>
        <v>1117758.6000000001</v>
      </c>
      <c r="AP41" s="524">
        <f t="shared" si="17"/>
        <v>1117758.6000000001</v>
      </c>
      <c r="AQ41" s="524">
        <f t="shared" si="17"/>
        <v>1117758.6000000001</v>
      </c>
      <c r="AR41" s="524">
        <f t="shared" si="17"/>
        <v>1117758.6000000001</v>
      </c>
      <c r="AS41" s="524">
        <f t="shared" si="17"/>
        <v>1117758.6000000001</v>
      </c>
      <c r="AT41" s="524">
        <f t="shared" si="17"/>
        <v>1117758.6000000001</v>
      </c>
      <c r="AU41" s="524">
        <f t="shared" si="17"/>
        <v>1117758.6000000001</v>
      </c>
      <c r="AV41" s="524">
        <f t="shared" si="18"/>
        <v>1117758.6000000001</v>
      </c>
      <c r="AW41" s="524">
        <f t="shared" si="18"/>
        <v>1117758.6000000001</v>
      </c>
      <c r="AX41" s="524">
        <f t="shared" si="18"/>
        <v>1117758.6000000001</v>
      </c>
      <c r="AY41" s="524">
        <f t="shared" si="18"/>
        <v>1117758.6000000001</v>
      </c>
      <c r="AZ41" s="524">
        <f t="shared" si="18"/>
        <v>1117758.6000000001</v>
      </c>
      <c r="BA41" s="524">
        <f t="shared" si="18"/>
        <v>1117758.6000000001</v>
      </c>
      <c r="BB41" s="524">
        <f t="shared" si="18"/>
        <v>1117758.6000000001</v>
      </c>
      <c r="BC41" s="524">
        <f t="shared" si="18"/>
        <v>1117758.6000000001</v>
      </c>
      <c r="BD41" s="524">
        <f t="shared" si="18"/>
        <v>1117758.6000000001</v>
      </c>
      <c r="BE41" s="524">
        <f t="shared" si="18"/>
        <v>1117758.6000000001</v>
      </c>
      <c r="BF41" s="524">
        <f t="shared" si="18"/>
        <v>1117758.6000000001</v>
      </c>
      <c r="BG41" s="524">
        <f t="shared" si="18"/>
        <v>1117758.6000000001</v>
      </c>
      <c r="BH41" s="524">
        <f t="shared" si="18"/>
        <v>1117758.6000000001</v>
      </c>
      <c r="BI41" s="524">
        <f t="shared" si="18"/>
        <v>1117758.6000000001</v>
      </c>
    </row>
    <row r="42" spans="1:61">
      <c r="A42" s="8" t="s">
        <v>377</v>
      </c>
      <c r="B42" s="110" t="s">
        <v>374</v>
      </c>
      <c r="C42" s="75"/>
      <c r="D42" s="75"/>
      <c r="E42" s="75"/>
      <c r="F42" s="75"/>
      <c r="G42" s="75"/>
      <c r="H42" s="75"/>
      <c r="I42" s="75"/>
      <c r="J42" s="75"/>
      <c r="K42" s="75"/>
      <c r="L42" s="75"/>
      <c r="M42" s="539"/>
      <c r="N42" s="77">
        <v>1100000</v>
      </c>
      <c r="O42" s="530">
        <f t="shared" si="19"/>
        <v>1086800</v>
      </c>
      <c r="P42" s="524">
        <f t="shared" si="15"/>
        <v>1081366</v>
      </c>
      <c r="Q42" s="524">
        <f t="shared" si="15"/>
        <v>1077040.5360000001</v>
      </c>
      <c r="R42" s="524">
        <f t="shared" si="15"/>
        <v>1083502.7792160001</v>
      </c>
      <c r="S42" s="524">
        <f t="shared" si="15"/>
        <v>1112757.3542548323</v>
      </c>
      <c r="T42" s="524">
        <f t="shared" si="15"/>
        <v>1151703.8616537512</v>
      </c>
      <c r="U42" s="524">
        <f t="shared" si="15"/>
        <v>1181648.1620567488</v>
      </c>
      <c r="V42" s="580">
        <f t="shared" si="20"/>
        <v>1200000</v>
      </c>
      <c r="W42" s="524">
        <f t="shared" si="16"/>
        <v>1352400</v>
      </c>
      <c r="X42" s="524">
        <f t="shared" si="15"/>
        <v>1490344.8</v>
      </c>
      <c r="Y42" s="524">
        <f t="shared" si="15"/>
        <v>1490344.8</v>
      </c>
      <c r="Z42" s="524">
        <f t="shared" si="15"/>
        <v>1490344.8</v>
      </c>
      <c r="AA42" s="524">
        <f t="shared" si="15"/>
        <v>1490344.8</v>
      </c>
      <c r="AB42" s="524">
        <f t="shared" si="15"/>
        <v>1490344.8</v>
      </c>
      <c r="AC42" s="524">
        <f t="shared" si="15"/>
        <v>1490344.8</v>
      </c>
      <c r="AD42" s="524">
        <f t="shared" si="15"/>
        <v>1490344.8</v>
      </c>
      <c r="AE42" s="524">
        <f t="shared" si="15"/>
        <v>1490344.8</v>
      </c>
      <c r="AF42" s="524">
        <f t="shared" si="17"/>
        <v>1490344.8</v>
      </c>
      <c r="AG42" s="524">
        <f t="shared" si="17"/>
        <v>1490344.8</v>
      </c>
      <c r="AH42" s="524">
        <f t="shared" si="17"/>
        <v>1490344.8</v>
      </c>
      <c r="AI42" s="524">
        <f t="shared" si="17"/>
        <v>1490344.8</v>
      </c>
      <c r="AJ42" s="524">
        <f t="shared" si="17"/>
        <v>1490344.8</v>
      </c>
      <c r="AK42" s="524">
        <f t="shared" si="17"/>
        <v>1490344.8</v>
      </c>
      <c r="AL42" s="524">
        <f t="shared" si="17"/>
        <v>1490344.8</v>
      </c>
      <c r="AM42" s="524">
        <f t="shared" si="17"/>
        <v>1490344.8</v>
      </c>
      <c r="AN42" s="524">
        <f t="shared" si="17"/>
        <v>1490344.8</v>
      </c>
      <c r="AO42" s="524">
        <f t="shared" si="17"/>
        <v>1490344.8</v>
      </c>
      <c r="AP42" s="524">
        <f t="shared" si="17"/>
        <v>1490344.8</v>
      </c>
      <c r="AQ42" s="524">
        <f t="shared" si="17"/>
        <v>1490344.8</v>
      </c>
      <c r="AR42" s="524">
        <f t="shared" si="17"/>
        <v>1490344.8</v>
      </c>
      <c r="AS42" s="524">
        <f t="shared" si="17"/>
        <v>1490344.8</v>
      </c>
      <c r="AT42" s="524">
        <f t="shared" si="17"/>
        <v>1490344.8</v>
      </c>
      <c r="AU42" s="524">
        <f t="shared" si="17"/>
        <v>1490344.8</v>
      </c>
      <c r="AV42" s="524">
        <f t="shared" si="18"/>
        <v>1490344.8</v>
      </c>
      <c r="AW42" s="524">
        <f t="shared" si="18"/>
        <v>1490344.8</v>
      </c>
      <c r="AX42" s="524">
        <f t="shared" si="18"/>
        <v>1490344.8</v>
      </c>
      <c r="AY42" s="524">
        <f t="shared" si="18"/>
        <v>1490344.8</v>
      </c>
      <c r="AZ42" s="524">
        <f t="shared" si="18"/>
        <v>1490344.8</v>
      </c>
      <c r="BA42" s="524">
        <f t="shared" si="18"/>
        <v>1490344.8</v>
      </c>
      <c r="BB42" s="524">
        <f t="shared" si="18"/>
        <v>1490344.8</v>
      </c>
      <c r="BC42" s="524">
        <f t="shared" si="18"/>
        <v>1490344.8</v>
      </c>
      <c r="BD42" s="524">
        <f t="shared" si="18"/>
        <v>1490344.8</v>
      </c>
      <c r="BE42" s="524">
        <f t="shared" si="18"/>
        <v>1490344.8</v>
      </c>
      <c r="BF42" s="524">
        <f t="shared" si="18"/>
        <v>1490344.8</v>
      </c>
      <c r="BG42" s="524">
        <f t="shared" si="18"/>
        <v>1490344.8</v>
      </c>
      <c r="BH42" s="524">
        <f t="shared" si="18"/>
        <v>1490344.8</v>
      </c>
      <c r="BI42" s="524">
        <f t="shared" si="18"/>
        <v>1490344.8</v>
      </c>
    </row>
    <row r="43" spans="1:61">
      <c r="A43" s="8" t="s">
        <v>378</v>
      </c>
      <c r="B43" s="110" t="s">
        <v>374</v>
      </c>
      <c r="C43" s="75"/>
      <c r="D43" s="75"/>
      <c r="E43" s="75"/>
      <c r="F43" s="75"/>
      <c r="G43" s="75"/>
      <c r="H43" s="75"/>
      <c r="I43" s="75"/>
      <c r="J43" s="75"/>
      <c r="K43" s="75"/>
      <c r="L43" s="75"/>
      <c r="M43" s="539"/>
      <c r="N43" s="77">
        <v>700000</v>
      </c>
      <c r="O43" s="530">
        <f t="shared" si="19"/>
        <v>691600</v>
      </c>
      <c r="P43" s="524">
        <f t="shared" si="15"/>
        <v>688142</v>
      </c>
      <c r="Q43" s="524">
        <f t="shared" si="15"/>
        <v>685389.43200000003</v>
      </c>
      <c r="R43" s="524">
        <f t="shared" si="15"/>
        <v>689501.76859200001</v>
      </c>
      <c r="S43" s="524">
        <f t="shared" si="15"/>
        <v>708118.3163439841</v>
      </c>
      <c r="T43" s="524">
        <f t="shared" si="15"/>
        <v>732902.45741602348</v>
      </c>
      <c r="U43" s="524">
        <f t="shared" si="15"/>
        <v>751957.92130884016</v>
      </c>
      <c r="V43" s="580">
        <f t="shared" si="20"/>
        <v>780000</v>
      </c>
      <c r="W43" s="524">
        <f t="shared" si="16"/>
        <v>879060</v>
      </c>
      <c r="X43" s="524">
        <f t="shared" si="15"/>
        <v>968724.12000000011</v>
      </c>
      <c r="Y43" s="524">
        <f t="shared" si="15"/>
        <v>968724.12000000011</v>
      </c>
      <c r="Z43" s="524">
        <f t="shared" si="15"/>
        <v>968724.12000000011</v>
      </c>
      <c r="AA43" s="524">
        <f t="shared" si="15"/>
        <v>968724.12000000011</v>
      </c>
      <c r="AB43" s="524">
        <f t="shared" si="15"/>
        <v>968724.12000000011</v>
      </c>
      <c r="AC43" s="524">
        <f t="shared" si="15"/>
        <v>968724.12000000011</v>
      </c>
      <c r="AD43" s="524">
        <f t="shared" si="15"/>
        <v>968724.12000000011</v>
      </c>
      <c r="AE43" s="524">
        <f t="shared" si="15"/>
        <v>968724.12000000011</v>
      </c>
      <c r="AF43" s="524">
        <f t="shared" si="17"/>
        <v>968724.12000000011</v>
      </c>
      <c r="AG43" s="524">
        <f t="shared" si="17"/>
        <v>968724.12000000011</v>
      </c>
      <c r="AH43" s="524">
        <f t="shared" si="17"/>
        <v>968724.12000000011</v>
      </c>
      <c r="AI43" s="524">
        <f t="shared" si="17"/>
        <v>968724.12000000011</v>
      </c>
      <c r="AJ43" s="524">
        <f t="shared" si="17"/>
        <v>968724.12000000011</v>
      </c>
      <c r="AK43" s="524">
        <f t="shared" si="17"/>
        <v>968724.12000000011</v>
      </c>
      <c r="AL43" s="524">
        <f t="shared" si="17"/>
        <v>968724.12000000011</v>
      </c>
      <c r="AM43" s="524">
        <f t="shared" si="17"/>
        <v>968724.12000000011</v>
      </c>
      <c r="AN43" s="524">
        <f t="shared" si="17"/>
        <v>968724.12000000011</v>
      </c>
      <c r="AO43" s="524">
        <f t="shared" si="17"/>
        <v>968724.12000000011</v>
      </c>
      <c r="AP43" s="524">
        <f t="shared" si="17"/>
        <v>968724.12000000011</v>
      </c>
      <c r="AQ43" s="524">
        <f t="shared" si="17"/>
        <v>968724.12000000011</v>
      </c>
      <c r="AR43" s="524">
        <f t="shared" si="17"/>
        <v>968724.12000000011</v>
      </c>
      <c r="AS43" s="524">
        <f t="shared" si="17"/>
        <v>968724.12000000011</v>
      </c>
      <c r="AT43" s="524">
        <f t="shared" si="17"/>
        <v>968724.12000000011</v>
      </c>
      <c r="AU43" s="524">
        <f t="shared" si="17"/>
        <v>968724.12000000011</v>
      </c>
      <c r="AV43" s="524">
        <f t="shared" si="18"/>
        <v>968724.12000000011</v>
      </c>
      <c r="AW43" s="524">
        <f t="shared" si="18"/>
        <v>968724.12000000011</v>
      </c>
      <c r="AX43" s="524">
        <f t="shared" si="18"/>
        <v>968724.12000000011</v>
      </c>
      <c r="AY43" s="524">
        <f t="shared" si="18"/>
        <v>968724.12000000011</v>
      </c>
      <c r="AZ43" s="524">
        <f t="shared" si="18"/>
        <v>968724.12000000011</v>
      </c>
      <c r="BA43" s="524">
        <f t="shared" si="18"/>
        <v>968724.12000000011</v>
      </c>
      <c r="BB43" s="524">
        <f t="shared" si="18"/>
        <v>968724.12000000011</v>
      </c>
      <c r="BC43" s="524">
        <f t="shared" si="18"/>
        <v>968724.12000000011</v>
      </c>
      <c r="BD43" s="524">
        <f t="shared" si="18"/>
        <v>968724.12000000011</v>
      </c>
      <c r="BE43" s="524">
        <f t="shared" si="18"/>
        <v>968724.12000000011</v>
      </c>
      <c r="BF43" s="524">
        <f t="shared" si="18"/>
        <v>968724.12000000011</v>
      </c>
      <c r="BG43" s="524">
        <f t="shared" si="18"/>
        <v>968724.12000000011</v>
      </c>
      <c r="BH43" s="524">
        <f t="shared" si="18"/>
        <v>968724.12000000011</v>
      </c>
      <c r="BI43" s="524">
        <f t="shared" si="18"/>
        <v>968724.12000000011</v>
      </c>
    </row>
    <row r="44" spans="1:61">
      <c r="A44" s="8" t="s">
        <v>379</v>
      </c>
      <c r="B44" s="110" t="s">
        <v>374</v>
      </c>
      <c r="C44" s="75"/>
      <c r="D44" s="75"/>
      <c r="E44" s="75"/>
      <c r="F44" s="75"/>
      <c r="G44" s="75"/>
      <c r="H44" s="75"/>
      <c r="I44" s="75"/>
      <c r="J44" s="75"/>
      <c r="K44" s="75"/>
      <c r="L44" s="75"/>
      <c r="M44" s="539"/>
      <c r="N44" s="77">
        <v>600000</v>
      </c>
      <c r="O44" s="530">
        <f t="shared" si="19"/>
        <v>592800</v>
      </c>
      <c r="P44" s="524">
        <f t="shared" si="15"/>
        <v>589836</v>
      </c>
      <c r="Q44" s="524">
        <f t="shared" si="15"/>
        <v>587476.65599999996</v>
      </c>
      <c r="R44" s="524">
        <f t="shared" si="15"/>
        <v>591001.51593599992</v>
      </c>
      <c r="S44" s="524">
        <f t="shared" si="15"/>
        <v>606958.556866272</v>
      </c>
      <c r="T44" s="524">
        <f t="shared" si="15"/>
        <v>628202.10635659145</v>
      </c>
      <c r="U44" s="524">
        <f t="shared" si="15"/>
        <v>644535.36112186289</v>
      </c>
      <c r="V44" s="580">
        <f t="shared" si="20"/>
        <v>670000</v>
      </c>
      <c r="W44" s="524">
        <f t="shared" si="16"/>
        <v>755090</v>
      </c>
      <c r="X44" s="524">
        <f t="shared" si="15"/>
        <v>832109.18</v>
      </c>
      <c r="Y44" s="524">
        <f t="shared" si="15"/>
        <v>832109.18</v>
      </c>
      <c r="Z44" s="524">
        <f t="shared" si="15"/>
        <v>832109.18</v>
      </c>
      <c r="AA44" s="524">
        <f t="shared" si="15"/>
        <v>832109.18</v>
      </c>
      <c r="AB44" s="524">
        <f t="shared" si="15"/>
        <v>832109.18</v>
      </c>
      <c r="AC44" s="524">
        <f t="shared" si="15"/>
        <v>832109.18</v>
      </c>
      <c r="AD44" s="524">
        <f t="shared" si="15"/>
        <v>832109.18</v>
      </c>
      <c r="AE44" s="524">
        <f t="shared" si="15"/>
        <v>832109.18</v>
      </c>
      <c r="AF44" s="524">
        <f t="shared" si="17"/>
        <v>832109.18</v>
      </c>
      <c r="AG44" s="524">
        <f t="shared" si="17"/>
        <v>832109.18</v>
      </c>
      <c r="AH44" s="524">
        <f t="shared" si="17"/>
        <v>832109.18</v>
      </c>
      <c r="AI44" s="524">
        <f t="shared" si="17"/>
        <v>832109.18</v>
      </c>
      <c r="AJ44" s="524">
        <f t="shared" si="17"/>
        <v>832109.18</v>
      </c>
      <c r="AK44" s="524">
        <f t="shared" si="17"/>
        <v>832109.18</v>
      </c>
      <c r="AL44" s="524">
        <f t="shared" si="17"/>
        <v>832109.18</v>
      </c>
      <c r="AM44" s="524">
        <f t="shared" si="17"/>
        <v>832109.18</v>
      </c>
      <c r="AN44" s="524">
        <f t="shared" si="17"/>
        <v>832109.18</v>
      </c>
      <c r="AO44" s="524">
        <f t="shared" si="17"/>
        <v>832109.18</v>
      </c>
      <c r="AP44" s="524">
        <f t="shared" si="17"/>
        <v>832109.18</v>
      </c>
      <c r="AQ44" s="524">
        <f t="shared" si="17"/>
        <v>832109.18</v>
      </c>
      <c r="AR44" s="524">
        <f t="shared" si="17"/>
        <v>832109.18</v>
      </c>
      <c r="AS44" s="524">
        <f t="shared" si="17"/>
        <v>832109.18</v>
      </c>
      <c r="AT44" s="524">
        <f t="shared" si="17"/>
        <v>832109.18</v>
      </c>
      <c r="AU44" s="524">
        <f t="shared" si="17"/>
        <v>832109.18</v>
      </c>
      <c r="AV44" s="524">
        <f t="shared" si="18"/>
        <v>832109.18</v>
      </c>
      <c r="AW44" s="524">
        <f t="shared" si="18"/>
        <v>832109.18</v>
      </c>
      <c r="AX44" s="524">
        <f t="shared" si="18"/>
        <v>832109.18</v>
      </c>
      <c r="AY44" s="524">
        <f t="shared" si="18"/>
        <v>832109.18</v>
      </c>
      <c r="AZ44" s="524">
        <f t="shared" si="18"/>
        <v>832109.18</v>
      </c>
      <c r="BA44" s="524">
        <f t="shared" si="18"/>
        <v>832109.18</v>
      </c>
      <c r="BB44" s="524">
        <f t="shared" si="18"/>
        <v>832109.18</v>
      </c>
      <c r="BC44" s="524">
        <f t="shared" si="18"/>
        <v>832109.18</v>
      </c>
      <c r="BD44" s="524">
        <f t="shared" si="18"/>
        <v>832109.18</v>
      </c>
      <c r="BE44" s="524">
        <f t="shared" si="18"/>
        <v>832109.18</v>
      </c>
      <c r="BF44" s="524">
        <f t="shared" si="18"/>
        <v>832109.18</v>
      </c>
      <c r="BG44" s="524">
        <f t="shared" si="18"/>
        <v>832109.18</v>
      </c>
      <c r="BH44" s="524">
        <f t="shared" si="18"/>
        <v>832109.18</v>
      </c>
      <c r="BI44" s="524">
        <f t="shared" si="18"/>
        <v>832109.18</v>
      </c>
    </row>
    <row r="45" spans="1:61">
      <c r="A45" s="531" t="s">
        <v>380</v>
      </c>
    </row>
    <row r="46" spans="1:61"/>
    <row r="47" spans="1:61"/>
    <row r="48" spans="1:61"/>
    <row r="49" spans="1:20"/>
    <row r="50" spans="1:20"/>
    <row r="51" spans="1:20"/>
    <row r="52" spans="1:20">
      <c r="A52" s="187" t="s">
        <v>444</v>
      </c>
    </row>
    <row r="53" spans="1:20" hidden="1" outlineLevel="1">
      <c r="A53" s="529" t="s">
        <v>821</v>
      </c>
    </row>
    <row r="54" spans="1:20" hidden="1" outlineLevel="1">
      <c r="A54" s="14" t="s">
        <v>819</v>
      </c>
    </row>
    <row r="55" spans="1:20" hidden="1" outlineLevel="1">
      <c r="A55" s="14" t="s">
        <v>820</v>
      </c>
    </row>
    <row r="56" spans="1:20" hidden="1" outlineLevel="1">
      <c r="A56" s="14" t="s">
        <v>822</v>
      </c>
    </row>
    <row r="57" spans="1:20" hidden="1" outlineLevel="1"/>
    <row r="58" spans="1:20" hidden="1" outlineLevel="1">
      <c r="A58" s="1" t="s">
        <v>442</v>
      </c>
    </row>
    <row r="59" spans="1:20" hidden="1" outlineLevel="1">
      <c r="A59" s="529" t="s">
        <v>445</v>
      </c>
    </row>
    <row r="60" spans="1:20" hidden="1" outlineLevel="1">
      <c r="A60" s="9" t="s">
        <v>432</v>
      </c>
      <c r="B60" s="537"/>
      <c r="C60" s="538"/>
      <c r="D60" s="538"/>
      <c r="E60" s="538"/>
      <c r="F60" s="538"/>
      <c r="G60" s="538"/>
      <c r="H60" s="538"/>
      <c r="I60" s="538"/>
      <c r="J60" s="538"/>
      <c r="K60" s="538"/>
      <c r="L60" s="538"/>
      <c r="M60" s="777" t="s">
        <v>433</v>
      </c>
      <c r="N60" s="897"/>
      <c r="O60"/>
      <c r="P60"/>
      <c r="Q60"/>
      <c r="R60"/>
      <c r="S60"/>
      <c r="T60"/>
    </row>
    <row r="61" spans="1:20" s="553" customFormat="1" hidden="1" outlineLevel="1">
      <c r="A61" s="557" t="s">
        <v>429</v>
      </c>
      <c r="B61" s="110" t="s">
        <v>428</v>
      </c>
      <c r="C61" s="13"/>
      <c r="D61" s="13"/>
      <c r="E61" s="13"/>
      <c r="F61" s="13"/>
      <c r="G61" s="13"/>
      <c r="H61" s="13"/>
      <c r="I61" s="13"/>
      <c r="J61" s="13"/>
      <c r="K61" s="13"/>
      <c r="L61" s="13"/>
      <c r="M61" s="763">
        <v>24626443.969999999</v>
      </c>
      <c r="N61" s="764"/>
      <c r="O61"/>
      <c r="P61"/>
      <c r="Q61"/>
      <c r="R61"/>
      <c r="S61"/>
      <c r="T61"/>
    </row>
    <row r="62" spans="1:20" s="553" customFormat="1" hidden="1" outlineLevel="1">
      <c r="A62" s="557" t="s">
        <v>430</v>
      </c>
      <c r="B62" s="110" t="s">
        <v>428</v>
      </c>
      <c r="C62" s="13"/>
      <c r="D62" s="13"/>
      <c r="E62" s="13"/>
      <c r="F62" s="13"/>
      <c r="G62" s="13"/>
      <c r="H62" s="13"/>
      <c r="I62" s="13"/>
      <c r="J62" s="13"/>
      <c r="K62" s="13"/>
      <c r="L62" s="13"/>
      <c r="M62" s="763">
        <v>22009252.719999999</v>
      </c>
      <c r="N62" s="764"/>
    </row>
    <row r="63" spans="1:20" s="553" customFormat="1" hidden="1" outlineLevel="1">
      <c r="A63" s="557" t="s">
        <v>431</v>
      </c>
      <c r="B63" s="110" t="s">
        <v>428</v>
      </c>
      <c r="C63" s="13"/>
      <c r="D63" s="13"/>
      <c r="E63" s="13"/>
      <c r="F63" s="13"/>
      <c r="G63" s="13"/>
      <c r="H63" s="13"/>
      <c r="I63" s="13"/>
      <c r="J63" s="13"/>
      <c r="K63" s="13"/>
      <c r="L63" s="13"/>
      <c r="M63" s="763">
        <v>25197142.870000001</v>
      </c>
      <c r="N63" s="764"/>
    </row>
    <row r="64" spans="1:20" hidden="1" outlineLevel="1">
      <c r="A64" s="35" t="s">
        <v>823</v>
      </c>
    </row>
    <row r="65" spans="1:17" s="553" customFormat="1" hidden="1" outlineLevel="1"/>
    <row r="66" spans="1:17" s="553" customFormat="1" hidden="1" outlineLevel="1">
      <c r="A66" s="8" t="s">
        <v>436</v>
      </c>
      <c r="B66" s="110"/>
      <c r="C66" s="510"/>
      <c r="D66" s="510"/>
      <c r="E66" s="510"/>
      <c r="F66" s="510"/>
      <c r="G66" s="510"/>
      <c r="H66" s="510"/>
      <c r="I66" s="510"/>
      <c r="J66" s="510"/>
      <c r="K66" s="510"/>
      <c r="L66" s="510"/>
      <c r="M66" s="558">
        <v>0.23</v>
      </c>
      <c r="N66"/>
      <c r="O66"/>
      <c r="P66"/>
      <c r="Q66"/>
    </row>
    <row r="67" spans="1:17" s="553" customFormat="1" hidden="1" outlineLevel="1"/>
    <row r="68" spans="1:17" s="553" customFormat="1" hidden="1" outlineLevel="1">
      <c r="A68" s="9" t="s">
        <v>432</v>
      </c>
      <c r="B68" s="537"/>
      <c r="C68" s="538"/>
      <c r="D68" s="538"/>
      <c r="E68" s="538"/>
      <c r="F68" s="538"/>
      <c r="G68" s="538"/>
      <c r="H68" s="538"/>
      <c r="I68" s="538"/>
      <c r="J68" s="538"/>
      <c r="K68" s="538"/>
      <c r="L68" s="538"/>
      <c r="M68" s="777" t="s">
        <v>435</v>
      </c>
      <c r="N68" s="897"/>
    </row>
    <row r="69" spans="1:17" s="553" customFormat="1" hidden="1" outlineLevel="1">
      <c r="A69" s="557" t="s">
        <v>429</v>
      </c>
      <c r="B69" s="110" t="s">
        <v>428</v>
      </c>
      <c r="C69" s="13"/>
      <c r="D69" s="13"/>
      <c r="E69" s="13"/>
      <c r="F69" s="13"/>
      <c r="G69" s="13"/>
      <c r="H69" s="13"/>
      <c r="I69" s="13"/>
      <c r="J69" s="13"/>
      <c r="K69" s="13"/>
      <c r="L69" s="13"/>
      <c r="M69" s="763">
        <f>M61/(100%+$M$66)</f>
        <v>20021499.162601624</v>
      </c>
      <c r="N69" s="764"/>
    </row>
    <row r="70" spans="1:17" s="553" customFormat="1" hidden="1" outlineLevel="1">
      <c r="A70" s="557" t="s">
        <v>430</v>
      </c>
      <c r="B70" s="110" t="s">
        <v>428</v>
      </c>
      <c r="C70" s="13"/>
      <c r="D70" s="13"/>
      <c r="E70" s="13"/>
      <c r="F70" s="13"/>
      <c r="G70" s="13"/>
      <c r="H70" s="13"/>
      <c r="I70" s="13"/>
      <c r="J70" s="13"/>
      <c r="K70" s="13"/>
      <c r="L70" s="13"/>
      <c r="M70" s="763">
        <f t="shared" ref="M70:M71" si="21">M62/(100%+$M$66)</f>
        <v>17893701.398373984</v>
      </c>
      <c r="N70" s="764"/>
    </row>
    <row r="71" spans="1:17" s="553" customFormat="1" ht="15.75" hidden="1" outlineLevel="1" thickBot="1">
      <c r="A71" s="561" t="s">
        <v>431</v>
      </c>
      <c r="B71" s="562" t="s">
        <v>428</v>
      </c>
      <c r="C71" s="563"/>
      <c r="D71" s="563"/>
      <c r="E71" s="563"/>
      <c r="F71" s="563"/>
      <c r="G71" s="563"/>
      <c r="H71" s="563"/>
      <c r="I71" s="563"/>
      <c r="J71" s="563"/>
      <c r="K71" s="563"/>
      <c r="L71" s="563"/>
      <c r="M71" s="898">
        <f t="shared" si="21"/>
        <v>20485482.008130081</v>
      </c>
      <c r="N71" s="899"/>
    </row>
    <row r="72" spans="1:17" s="553" customFormat="1" ht="30" hidden="1" customHeight="1" outlineLevel="1" thickTop="1">
      <c r="A72" s="564" t="s">
        <v>824</v>
      </c>
      <c r="B72" s="565" t="s">
        <v>428</v>
      </c>
      <c r="C72" s="566"/>
      <c r="D72" s="566"/>
      <c r="E72" s="566"/>
      <c r="F72" s="566"/>
      <c r="G72" s="566"/>
      <c r="H72" s="566"/>
      <c r="I72" s="566"/>
      <c r="J72" s="566"/>
      <c r="K72" s="566"/>
      <c r="L72" s="566"/>
      <c r="M72" s="900">
        <f>SUM(M$69:N71)/M74*M75</f>
        <v>233602730.27642274</v>
      </c>
      <c r="N72" s="901"/>
    </row>
    <row r="73" spans="1:17" s="553" customFormat="1" hidden="1" outlineLevel="1"/>
    <row r="74" spans="1:17" s="553" customFormat="1" hidden="1" outlineLevel="1">
      <c r="A74" s="8" t="s">
        <v>437</v>
      </c>
      <c r="B74" s="110"/>
      <c r="C74" s="559"/>
      <c r="D74" s="559"/>
      <c r="E74" s="559"/>
      <c r="F74" s="559"/>
      <c r="G74" s="559"/>
      <c r="H74" s="559"/>
      <c r="I74" s="559"/>
      <c r="J74" s="559"/>
      <c r="K74" s="559"/>
      <c r="L74" s="559"/>
      <c r="M74" s="560">
        <f>COUNTA(M$69:N71)</f>
        <v>3</v>
      </c>
    </row>
    <row r="75" spans="1:17" s="553" customFormat="1" hidden="1" outlineLevel="1">
      <c r="A75" s="8" t="s">
        <v>438</v>
      </c>
      <c r="B75" s="110"/>
      <c r="C75" s="559"/>
      <c r="D75" s="559"/>
      <c r="E75" s="559"/>
      <c r="F75" s="559"/>
      <c r="G75" s="559"/>
      <c r="H75" s="559"/>
      <c r="I75" s="559"/>
      <c r="J75" s="559"/>
      <c r="K75" s="559"/>
      <c r="L75" s="559"/>
      <c r="M75" s="560">
        <v>12</v>
      </c>
    </row>
    <row r="76" spans="1:17" s="553" customFormat="1" hidden="1" outlineLevel="1"/>
    <row r="77" spans="1:17" s="553" customFormat="1" ht="45" hidden="1" outlineLevel="1">
      <c r="A77" s="8" t="s">
        <v>440</v>
      </c>
      <c r="B77" s="110" t="s">
        <v>439</v>
      </c>
      <c r="C77" s="75"/>
      <c r="D77" s="75"/>
      <c r="E77" s="75"/>
      <c r="F77" s="75"/>
      <c r="G77" s="75"/>
      <c r="H77" s="75"/>
      <c r="I77" s="75"/>
      <c r="J77" s="75"/>
      <c r="K77" s="75"/>
      <c r="L77" s="75"/>
      <c r="M77" s="524">
        <v>3676.7559999999999</v>
      </c>
    </row>
    <row r="78" spans="1:17" s="553" customFormat="1" hidden="1" outlineLevel="1">
      <c r="A78" s="35" t="s">
        <v>441</v>
      </c>
    </row>
    <row r="79" spans="1:17" s="553" customFormat="1" hidden="1" outlineLevel="1"/>
    <row r="80" spans="1:17" s="553" customFormat="1" hidden="1" outlineLevel="1">
      <c r="A80" s="1" t="s">
        <v>825</v>
      </c>
    </row>
    <row r="81" spans="1:61" s="553" customFormat="1" hidden="1" outlineLevel="1">
      <c r="A81" s="9" t="s">
        <v>432</v>
      </c>
      <c r="B81" s="537"/>
      <c r="C81" s="538"/>
      <c r="D81" s="538"/>
      <c r="E81" s="538"/>
      <c r="F81" s="538"/>
      <c r="G81" s="538"/>
      <c r="H81" s="538"/>
      <c r="I81" s="538"/>
      <c r="J81" s="538"/>
      <c r="K81" s="538"/>
      <c r="L81" s="538"/>
      <c r="M81" s="567">
        <v>2021</v>
      </c>
    </row>
    <row r="82" spans="1:61" s="553" customFormat="1" ht="45" hidden="1" outlineLevel="1">
      <c r="A82" s="8" t="s">
        <v>443</v>
      </c>
      <c r="B82" s="110" t="s">
        <v>374</v>
      </c>
      <c r="C82" s="75"/>
      <c r="D82" s="75"/>
      <c r="E82" s="75"/>
      <c r="F82" s="75"/>
      <c r="G82" s="75"/>
      <c r="H82" s="75"/>
      <c r="I82" s="75"/>
      <c r="J82" s="75"/>
      <c r="K82" s="75"/>
      <c r="L82" s="75"/>
      <c r="M82" s="524">
        <f>ROUND(M72/M77,0)</f>
        <v>63535</v>
      </c>
    </row>
    <row r="83" spans="1:61" s="553" customFormat="1" collapsed="1"/>
    <row r="84" spans="1:61">
      <c r="A84" s="187" t="s">
        <v>931</v>
      </c>
    </row>
    <row r="85" spans="1:61">
      <c r="A85" s="757"/>
      <c r="B85" s="663" t="s">
        <v>309</v>
      </c>
      <c r="C85" s="649"/>
      <c r="D85" s="649"/>
      <c r="E85" s="649"/>
      <c r="F85" s="649"/>
      <c r="G85" s="649"/>
      <c r="H85" s="649"/>
      <c r="I85" s="649"/>
      <c r="J85" s="649"/>
      <c r="K85" s="649"/>
      <c r="L85" s="649"/>
      <c r="M85" s="652"/>
      <c r="N85" s="6"/>
      <c r="O85" s="6"/>
      <c r="P85" s="6"/>
      <c r="Q85" s="6"/>
      <c r="R85" s="6"/>
      <c r="S85" s="6"/>
      <c r="T85" s="6"/>
      <c r="U85" s="6">
        <v>2021</v>
      </c>
      <c r="V85" s="6">
        <f t="shared" ref="V85" si="22">U85+1</f>
        <v>2022</v>
      </c>
      <c r="W85" s="6">
        <f t="shared" ref="W85" si="23">V85+1</f>
        <v>2023</v>
      </c>
      <c r="X85" s="6">
        <f t="shared" ref="X85" si="24">W85+1</f>
        <v>2024</v>
      </c>
      <c r="Y85" s="6">
        <f t="shared" ref="Y85" si="25">X85+1</f>
        <v>2025</v>
      </c>
      <c r="Z85" s="6">
        <f t="shared" ref="Z85" si="26">Y85+1</f>
        <v>2026</v>
      </c>
      <c r="AA85" s="6">
        <f t="shared" ref="AA85" si="27">Z85+1</f>
        <v>2027</v>
      </c>
      <c r="AB85" s="6">
        <f t="shared" ref="AB85" si="28">AA85+1</f>
        <v>2028</v>
      </c>
      <c r="AC85" s="6">
        <f t="shared" ref="AC85" si="29">AB85+1</f>
        <v>2029</v>
      </c>
      <c r="AD85" s="6">
        <f t="shared" ref="AD85" si="30">AC85+1</f>
        <v>2030</v>
      </c>
      <c r="AE85" s="6">
        <f t="shared" ref="AE85" si="31">AD85+1</f>
        <v>2031</v>
      </c>
      <c r="AF85" s="6">
        <f t="shared" ref="AF85" si="32">AE85+1</f>
        <v>2032</v>
      </c>
      <c r="AG85" s="6">
        <f t="shared" ref="AG85" si="33">AF85+1</f>
        <v>2033</v>
      </c>
      <c r="AH85" s="6">
        <f t="shared" ref="AH85" si="34">AG85+1</f>
        <v>2034</v>
      </c>
      <c r="AI85" s="6">
        <f t="shared" ref="AI85" si="35">AH85+1</f>
        <v>2035</v>
      </c>
      <c r="AJ85" s="6">
        <f t="shared" ref="AJ85" si="36">AI85+1</f>
        <v>2036</v>
      </c>
      <c r="AK85" s="6">
        <f t="shared" ref="AK85" si="37">AJ85+1</f>
        <v>2037</v>
      </c>
      <c r="AL85" s="6">
        <f t="shared" ref="AL85" si="38">AK85+1</f>
        <v>2038</v>
      </c>
      <c r="AM85" s="6">
        <f t="shared" ref="AM85" si="39">AL85+1</f>
        <v>2039</v>
      </c>
      <c r="AN85" s="6">
        <f t="shared" ref="AN85" si="40">AM85+1</f>
        <v>2040</v>
      </c>
      <c r="AO85" s="6">
        <f t="shared" ref="AO85" si="41">AN85+1</f>
        <v>2041</v>
      </c>
      <c r="AP85" s="6">
        <f t="shared" ref="AP85" si="42">AO85+1</f>
        <v>2042</v>
      </c>
      <c r="AQ85" s="6">
        <f t="shared" ref="AQ85" si="43">AP85+1</f>
        <v>2043</v>
      </c>
      <c r="AR85" s="6">
        <f t="shared" ref="AR85" si="44">AQ85+1</f>
        <v>2044</v>
      </c>
      <c r="AS85" s="6">
        <f t="shared" ref="AS85" si="45">AR85+1</f>
        <v>2045</v>
      </c>
      <c r="AT85" s="6">
        <f t="shared" ref="AT85" si="46">AS85+1</f>
        <v>2046</v>
      </c>
      <c r="AU85" s="6">
        <f t="shared" ref="AU85" si="47">AT85+1</f>
        <v>2047</v>
      </c>
      <c r="AV85" s="6">
        <f t="shared" ref="AV85" si="48">AU85+1</f>
        <v>2048</v>
      </c>
      <c r="AW85" s="6">
        <f t="shared" ref="AW85" si="49">AV85+1</f>
        <v>2049</v>
      </c>
      <c r="AX85" s="6">
        <f t="shared" ref="AX85" si="50">AW85+1</f>
        <v>2050</v>
      </c>
      <c r="AY85" s="6">
        <f t="shared" ref="AY85" si="51">AX85+1</f>
        <v>2051</v>
      </c>
      <c r="AZ85" s="6">
        <f t="shared" ref="AZ85" si="52">AY85+1</f>
        <v>2052</v>
      </c>
      <c r="BA85" s="6">
        <f t="shared" ref="BA85" si="53">AZ85+1</f>
        <v>2053</v>
      </c>
      <c r="BB85" s="6">
        <f t="shared" ref="BB85" si="54">BA85+1</f>
        <v>2054</v>
      </c>
      <c r="BC85" s="6">
        <f t="shared" ref="BC85" si="55">BB85+1</f>
        <v>2055</v>
      </c>
      <c r="BD85" s="6">
        <f t="shared" ref="BD85" si="56">BC85+1</f>
        <v>2056</v>
      </c>
      <c r="BE85" s="6">
        <f t="shared" ref="BE85" si="57">BD85+1</f>
        <v>2057</v>
      </c>
      <c r="BF85" s="6">
        <f t="shared" ref="BF85" si="58">BE85+1</f>
        <v>2058</v>
      </c>
      <c r="BG85" s="6">
        <f t="shared" ref="BG85" si="59">BF85+1</f>
        <v>2059</v>
      </c>
      <c r="BH85" s="6">
        <f t="shared" ref="BH85" si="60">BG85+1</f>
        <v>2060</v>
      </c>
      <c r="BI85" s="6">
        <f t="shared" ref="BI85" si="61">BH85+1</f>
        <v>2061</v>
      </c>
    </row>
    <row r="86" spans="1:61">
      <c r="A86" s="758"/>
      <c r="B86" s="664" t="s">
        <v>510</v>
      </c>
      <c r="C86" s="647"/>
      <c r="D86" s="647"/>
      <c r="E86" s="647"/>
      <c r="F86" s="647"/>
      <c r="G86" s="647"/>
      <c r="H86" s="647"/>
      <c r="I86" s="647"/>
      <c r="J86" s="647"/>
      <c r="K86" s="647"/>
      <c r="L86" s="647"/>
      <c r="M86" s="665"/>
      <c r="N86" s="660"/>
      <c r="O86" s="660"/>
      <c r="P86" s="660"/>
      <c r="Q86" s="660"/>
      <c r="R86" s="660"/>
      <c r="S86" s="660"/>
      <c r="T86" s="660"/>
      <c r="U86" s="661">
        <f>DATE(2020,12,31)</f>
        <v>44196</v>
      </c>
      <c r="V86" s="661">
        <f>DATE(YEAR(U86+1),12,31)</f>
        <v>44561</v>
      </c>
      <c r="W86" s="661">
        <f t="shared" ref="W86:BI86" si="62">DATE(YEAR(V86+1),12,31)</f>
        <v>44926</v>
      </c>
      <c r="X86" s="661">
        <f t="shared" si="62"/>
        <v>45291</v>
      </c>
      <c r="Y86" s="661">
        <f t="shared" si="62"/>
        <v>45657</v>
      </c>
      <c r="Z86" s="661">
        <f t="shared" si="62"/>
        <v>46022</v>
      </c>
      <c r="AA86" s="661">
        <f t="shared" si="62"/>
        <v>46387</v>
      </c>
      <c r="AB86" s="661">
        <f t="shared" si="62"/>
        <v>46752</v>
      </c>
      <c r="AC86" s="661">
        <f t="shared" si="62"/>
        <v>47118</v>
      </c>
      <c r="AD86" s="661">
        <f t="shared" si="62"/>
        <v>47483</v>
      </c>
      <c r="AE86" s="661">
        <f t="shared" si="62"/>
        <v>47848</v>
      </c>
      <c r="AF86" s="661">
        <f t="shared" si="62"/>
        <v>48213</v>
      </c>
      <c r="AG86" s="661">
        <f t="shared" si="62"/>
        <v>48579</v>
      </c>
      <c r="AH86" s="661">
        <f t="shared" si="62"/>
        <v>48944</v>
      </c>
      <c r="AI86" s="661">
        <f t="shared" si="62"/>
        <v>49309</v>
      </c>
      <c r="AJ86" s="661">
        <f t="shared" si="62"/>
        <v>49674</v>
      </c>
      <c r="AK86" s="661">
        <f t="shared" si="62"/>
        <v>50040</v>
      </c>
      <c r="AL86" s="661">
        <f t="shared" si="62"/>
        <v>50405</v>
      </c>
      <c r="AM86" s="661">
        <f t="shared" si="62"/>
        <v>50770</v>
      </c>
      <c r="AN86" s="661">
        <f t="shared" si="62"/>
        <v>51135</v>
      </c>
      <c r="AO86" s="661">
        <f t="shared" si="62"/>
        <v>51501</v>
      </c>
      <c r="AP86" s="661">
        <f t="shared" si="62"/>
        <v>51866</v>
      </c>
      <c r="AQ86" s="661">
        <f t="shared" si="62"/>
        <v>52231</v>
      </c>
      <c r="AR86" s="661">
        <f t="shared" si="62"/>
        <v>52596</v>
      </c>
      <c r="AS86" s="661">
        <f t="shared" si="62"/>
        <v>52962</v>
      </c>
      <c r="AT86" s="661">
        <f t="shared" si="62"/>
        <v>53327</v>
      </c>
      <c r="AU86" s="661">
        <f t="shared" si="62"/>
        <v>53692</v>
      </c>
      <c r="AV86" s="661">
        <f t="shared" si="62"/>
        <v>54057</v>
      </c>
      <c r="AW86" s="661">
        <f t="shared" si="62"/>
        <v>54423</v>
      </c>
      <c r="AX86" s="661">
        <f t="shared" si="62"/>
        <v>54788</v>
      </c>
      <c r="AY86" s="661">
        <f t="shared" si="62"/>
        <v>55153</v>
      </c>
      <c r="AZ86" s="661">
        <f t="shared" si="62"/>
        <v>55518</v>
      </c>
      <c r="BA86" s="661">
        <f t="shared" si="62"/>
        <v>55884</v>
      </c>
      <c r="BB86" s="661">
        <f t="shared" si="62"/>
        <v>56249</v>
      </c>
      <c r="BC86" s="661">
        <f t="shared" si="62"/>
        <v>56614</v>
      </c>
      <c r="BD86" s="661">
        <f t="shared" si="62"/>
        <v>56979</v>
      </c>
      <c r="BE86" s="661">
        <f t="shared" si="62"/>
        <v>57345</v>
      </c>
      <c r="BF86" s="661">
        <f t="shared" si="62"/>
        <v>57710</v>
      </c>
      <c r="BG86" s="661">
        <f t="shared" si="62"/>
        <v>58075</v>
      </c>
      <c r="BH86" s="661">
        <f t="shared" si="62"/>
        <v>58440</v>
      </c>
      <c r="BI86" s="661">
        <f t="shared" si="62"/>
        <v>58806</v>
      </c>
    </row>
    <row r="87" spans="1:61" ht="45">
      <c r="A87" s="8" t="s">
        <v>443</v>
      </c>
      <c r="B87" s="110" t="s">
        <v>374</v>
      </c>
      <c r="C87" s="75"/>
      <c r="D87" s="75"/>
      <c r="E87" s="75"/>
      <c r="F87" s="75"/>
      <c r="G87" s="75"/>
      <c r="H87" s="75"/>
      <c r="I87" s="75"/>
      <c r="J87" s="75"/>
      <c r="K87" s="75"/>
      <c r="L87" s="75"/>
      <c r="M87" s="539"/>
      <c r="N87" s="539"/>
      <c r="O87" s="539"/>
      <c r="P87" s="539"/>
      <c r="Q87" s="539"/>
      <c r="R87" s="539"/>
      <c r="S87" s="539"/>
      <c r="T87" s="539"/>
      <c r="U87" s="568">
        <f>$M$82</f>
        <v>63535</v>
      </c>
      <c r="V87" s="568">
        <f>$M$82</f>
        <v>63535</v>
      </c>
      <c r="W87" s="530">
        <f t="shared" ref="W87" si="63">V87*W$6</f>
        <v>71603.945000000007</v>
      </c>
      <c r="X87" s="524">
        <f t="shared" ref="X87" si="64">W87*X$6</f>
        <v>78907.547390000007</v>
      </c>
      <c r="Y87" s="524">
        <f t="shared" ref="Y87" si="65">X87*Y$6</f>
        <v>78907.547390000007</v>
      </c>
      <c r="Z87" s="524">
        <f t="shared" ref="Z87" si="66">Y87*Z$6</f>
        <v>78907.547390000007</v>
      </c>
      <c r="AA87" s="524">
        <f t="shared" ref="AA87" si="67">Z87*AA$6</f>
        <v>78907.547390000007</v>
      </c>
      <c r="AB87" s="524">
        <f t="shared" ref="AB87" si="68">AA87*AB$6</f>
        <v>78907.547390000007</v>
      </c>
      <c r="AC87" s="524">
        <f t="shared" ref="AC87" si="69">AB87*AC$6</f>
        <v>78907.547390000007</v>
      </c>
      <c r="AD87" s="524">
        <f t="shared" ref="AD87" si="70">AC87*AD$6</f>
        <v>78907.547390000007</v>
      </c>
      <c r="AE87" s="524">
        <f t="shared" ref="AE87" si="71">AD87*AE$6</f>
        <v>78907.547390000007</v>
      </c>
      <c r="AF87" s="524">
        <f t="shared" ref="AF87" si="72">AE87*AF$6</f>
        <v>78907.547390000007</v>
      </c>
      <c r="AG87" s="524">
        <f t="shared" ref="AG87" si="73">AF87*AG$6</f>
        <v>78907.547390000007</v>
      </c>
      <c r="AH87" s="524">
        <f t="shared" ref="AH87" si="74">AG87*AH$6</f>
        <v>78907.547390000007</v>
      </c>
      <c r="AI87" s="524">
        <f t="shared" ref="AI87" si="75">AH87*AI$6</f>
        <v>78907.547390000007</v>
      </c>
      <c r="AJ87" s="524">
        <f t="shared" ref="AJ87" si="76">AI87*AJ$6</f>
        <v>78907.547390000007</v>
      </c>
      <c r="AK87" s="524">
        <f t="shared" ref="AK87" si="77">AJ87*AK$6</f>
        <v>78907.547390000007</v>
      </c>
      <c r="AL87" s="524">
        <f t="shared" ref="AL87" si="78">AK87*AL$6</f>
        <v>78907.547390000007</v>
      </c>
      <c r="AM87" s="524">
        <f t="shared" ref="AM87" si="79">AL87*AM$6</f>
        <v>78907.547390000007</v>
      </c>
      <c r="AN87" s="524">
        <f t="shared" ref="AN87" si="80">AM87*AN$6</f>
        <v>78907.547390000007</v>
      </c>
      <c r="AO87" s="524">
        <f t="shared" ref="AO87" si="81">AN87*AO$6</f>
        <v>78907.547390000007</v>
      </c>
      <c r="AP87" s="524">
        <f t="shared" ref="AP87" si="82">AO87*AP$6</f>
        <v>78907.547390000007</v>
      </c>
      <c r="AQ87" s="524">
        <f t="shared" ref="AQ87" si="83">AP87*AQ$6</f>
        <v>78907.547390000007</v>
      </c>
      <c r="AR87" s="524">
        <f t="shared" ref="AR87" si="84">AQ87*AR$6</f>
        <v>78907.547390000007</v>
      </c>
      <c r="AS87" s="524">
        <f t="shared" ref="AS87" si="85">AR87*AS$6</f>
        <v>78907.547390000007</v>
      </c>
      <c r="AT87" s="524">
        <f t="shared" ref="AT87" si="86">AS87*AT$6</f>
        <v>78907.547390000007</v>
      </c>
      <c r="AU87" s="524">
        <f t="shared" ref="AU87" si="87">AT87*AU$6</f>
        <v>78907.547390000007</v>
      </c>
      <c r="AV87" s="524">
        <f t="shared" ref="AV87" si="88">AU87*AV$6</f>
        <v>78907.547390000007</v>
      </c>
      <c r="AW87" s="524">
        <f t="shared" ref="AW87" si="89">AV87*AW$6</f>
        <v>78907.547390000007</v>
      </c>
      <c r="AX87" s="524">
        <f t="shared" ref="AX87" si="90">AW87*AX$6</f>
        <v>78907.547390000007</v>
      </c>
      <c r="AY87" s="524">
        <f t="shared" ref="AY87" si="91">AX87*AY$6</f>
        <v>78907.547390000007</v>
      </c>
      <c r="AZ87" s="524">
        <f t="shared" ref="AZ87" si="92">AY87*AZ$6</f>
        <v>78907.547390000007</v>
      </c>
      <c r="BA87" s="524">
        <f t="shared" ref="BA87" si="93">AZ87*BA$6</f>
        <v>78907.547390000007</v>
      </c>
      <c r="BB87" s="524">
        <f t="shared" ref="BB87" si="94">BA87*BB$6</f>
        <v>78907.547390000007</v>
      </c>
      <c r="BC87" s="524">
        <f t="shared" ref="BC87" si="95">BB87*BC$6</f>
        <v>78907.547390000007</v>
      </c>
      <c r="BD87" s="524">
        <f t="shared" ref="BD87" si="96">BC87*BD$6</f>
        <v>78907.547390000007</v>
      </c>
      <c r="BE87" s="524">
        <f t="shared" ref="BE87" si="97">BD87*BE$6</f>
        <v>78907.547390000007</v>
      </c>
      <c r="BF87" s="524">
        <f t="shared" ref="BF87" si="98">BE87*BF$6</f>
        <v>78907.547390000007</v>
      </c>
      <c r="BG87" s="524">
        <f t="shared" ref="BG87" si="99">BF87*BG$6</f>
        <v>78907.547390000007</v>
      </c>
      <c r="BH87" s="524">
        <f t="shared" ref="BH87" si="100">BG87*BH$6</f>
        <v>78907.547390000007</v>
      </c>
      <c r="BI87" s="524">
        <f t="shared" ref="BI87" si="101">BH87*BI$6</f>
        <v>78907.547390000007</v>
      </c>
    </row>
    <row r="88" spans="1:61"/>
    <row r="89" spans="1:61"/>
    <row r="90" spans="1:61"/>
    <row r="91" spans="1:61" hidden="1"/>
  </sheetData>
  <mergeCells count="13">
    <mergeCell ref="A7:U9"/>
    <mergeCell ref="A85:A86"/>
    <mergeCell ref="M68:N68"/>
    <mergeCell ref="M69:N69"/>
    <mergeCell ref="M70:N70"/>
    <mergeCell ref="M71:N71"/>
    <mergeCell ref="M72:N72"/>
    <mergeCell ref="A13:A14"/>
    <mergeCell ref="A37:A38"/>
    <mergeCell ref="M61:N61"/>
    <mergeCell ref="M62:N62"/>
    <mergeCell ref="M63:N63"/>
    <mergeCell ref="M60:N60"/>
  </mergeCells>
  <pageMargins left="0.7" right="0.7" top="0.75" bottom="0.75" header="0.3" footer="0.3"/>
  <pageSetup paperSize="9" orientation="portrait"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98"/>
  <sheetViews>
    <sheetView workbookViewId="0">
      <pane ySplit="1" topLeftCell="A2" activePane="bottomLeft" state="frozen"/>
      <selection pane="bottomLeft" activeCell="A2" sqref="A2"/>
    </sheetView>
  </sheetViews>
  <sheetFormatPr defaultColWidth="0" defaultRowHeight="15" zeroHeight="1" outlineLevelRow="1"/>
  <cols>
    <col min="1" max="1" width="29" style="540" customWidth="1"/>
    <col min="2" max="2" width="15" style="540" bestFit="1" customWidth="1"/>
    <col min="3" max="5" width="15" style="540" customWidth="1"/>
    <col min="6" max="6" width="18.85546875" style="540" customWidth="1"/>
    <col min="7" max="8" width="15" style="540" customWidth="1"/>
    <col min="9" max="9" width="59.7109375" style="540" bestFit="1" customWidth="1"/>
    <col min="10" max="10" width="18.140625" style="540" customWidth="1"/>
    <col min="11" max="11" width="10" style="540" bestFit="1" customWidth="1"/>
    <col min="12" max="59" width="9.140625" style="540" customWidth="1"/>
    <col min="60" max="16384" width="9.140625" style="540" hidden="1"/>
  </cols>
  <sheetData>
    <row r="1" spans="1:21" ht="24">
      <c r="A1" s="4" t="s">
        <v>826</v>
      </c>
      <c r="B1" s="5"/>
      <c r="C1" s="88"/>
      <c r="D1" s="88"/>
      <c r="E1" s="88"/>
      <c r="F1" s="88"/>
      <c r="G1" s="88"/>
      <c r="H1" s="88"/>
      <c r="I1" s="88"/>
      <c r="J1" s="88"/>
      <c r="K1"/>
      <c r="L1"/>
      <c r="M1"/>
      <c r="N1"/>
      <c r="O1"/>
      <c r="P1"/>
      <c r="Q1"/>
      <c r="R1"/>
      <c r="S1"/>
      <c r="T1"/>
      <c r="U1"/>
    </row>
    <row r="2" spans="1:21"/>
    <row r="3" spans="1:21" s="577" customFormat="1"/>
    <row r="4" spans="1:21" s="577" customFormat="1"/>
    <row r="5" spans="1:21" s="577" customFormat="1"/>
    <row r="6" spans="1:21" s="577" customFormat="1"/>
    <row r="7" spans="1:21" s="577" customFormat="1"/>
    <row r="8" spans="1:21" s="577" customFormat="1"/>
    <row r="9" spans="1:21" s="577" customFormat="1"/>
    <row r="10" spans="1:21" ht="18">
      <c r="A10" s="113" t="s">
        <v>385</v>
      </c>
      <c r="B10" s="113" t="s">
        <v>423</v>
      </c>
      <c r="C10" s="113" t="s">
        <v>386</v>
      </c>
      <c r="D10" s="113"/>
      <c r="E10" s="113"/>
      <c r="F10" s="113" t="s">
        <v>387</v>
      </c>
      <c r="G10" s="113" t="s">
        <v>460</v>
      </c>
      <c r="H10" s="113" t="s">
        <v>388</v>
      </c>
      <c r="I10" s="113" t="s">
        <v>389</v>
      </c>
      <c r="J10" s="113" t="s">
        <v>390</v>
      </c>
    </row>
    <row r="11" spans="1:21">
      <c r="A11" s="540" t="s">
        <v>391</v>
      </c>
      <c r="B11" s="540" t="s">
        <v>392</v>
      </c>
      <c r="C11" s="540" t="s">
        <v>393</v>
      </c>
      <c r="F11" s="115">
        <v>1.1000000000000001</v>
      </c>
      <c r="G11" s="116">
        <v>8</v>
      </c>
      <c r="H11" s="115">
        <v>0.36</v>
      </c>
      <c r="I11" s="540" t="s">
        <v>827</v>
      </c>
      <c r="J11" s="540" t="s">
        <v>832</v>
      </c>
    </row>
    <row r="12" spans="1:21">
      <c r="A12" s="540" t="s">
        <v>394</v>
      </c>
      <c r="B12" s="540" t="s">
        <v>395</v>
      </c>
      <c r="C12" s="540" t="s">
        <v>393</v>
      </c>
      <c r="F12" s="115">
        <v>1.1000000000000001</v>
      </c>
      <c r="G12" s="116">
        <v>7</v>
      </c>
      <c r="H12" s="115">
        <v>0.15</v>
      </c>
      <c r="I12" s="540" t="s">
        <v>827</v>
      </c>
      <c r="J12" s="540" t="s">
        <v>832</v>
      </c>
    </row>
    <row r="13" spans="1:21">
      <c r="A13" s="540" t="s">
        <v>396</v>
      </c>
      <c r="B13" s="540" t="s">
        <v>397</v>
      </c>
      <c r="C13" s="540" t="s">
        <v>393</v>
      </c>
      <c r="F13" s="115">
        <v>0.66</v>
      </c>
      <c r="G13" s="116">
        <v>5</v>
      </c>
      <c r="H13" s="115">
        <v>0.1</v>
      </c>
      <c r="I13" s="540" t="s">
        <v>828</v>
      </c>
      <c r="J13" s="543" t="s">
        <v>833</v>
      </c>
    </row>
    <row r="14" spans="1:21">
      <c r="A14" s="540" t="s">
        <v>398</v>
      </c>
      <c r="B14" s="540" t="s">
        <v>399</v>
      </c>
      <c r="C14" s="540" t="s">
        <v>393</v>
      </c>
      <c r="F14" s="115">
        <v>0.46</v>
      </c>
      <c r="G14" s="116">
        <v>3.5</v>
      </c>
      <c r="H14" s="115">
        <v>0.02</v>
      </c>
      <c r="I14" s="540" t="s">
        <v>829</v>
      </c>
      <c r="J14" s="543" t="s">
        <v>834</v>
      </c>
    </row>
    <row r="15" spans="1:21">
      <c r="A15" s="540" t="s">
        <v>400</v>
      </c>
      <c r="B15" s="540" t="s">
        <v>401</v>
      </c>
      <c r="C15" s="540" t="s">
        <v>393</v>
      </c>
      <c r="F15" s="115">
        <v>0.46</v>
      </c>
      <c r="G15" s="116">
        <v>2</v>
      </c>
      <c r="H15" s="115">
        <v>0.02</v>
      </c>
      <c r="I15" s="540" t="s">
        <v>830</v>
      </c>
      <c r="J15" s="543" t="s">
        <v>835</v>
      </c>
    </row>
    <row r="16" spans="1:21">
      <c r="A16" s="144" t="s">
        <v>402</v>
      </c>
      <c r="B16" s="144" t="s">
        <v>403</v>
      </c>
      <c r="C16" s="144" t="s">
        <v>393</v>
      </c>
      <c r="D16" s="144"/>
      <c r="E16" s="144"/>
      <c r="F16" s="145">
        <v>0.13</v>
      </c>
      <c r="G16" s="147">
        <v>0.4</v>
      </c>
      <c r="H16" s="145">
        <v>0.01</v>
      </c>
      <c r="I16" s="144" t="s">
        <v>831</v>
      </c>
      <c r="J16" s="554" t="s">
        <v>836</v>
      </c>
    </row>
    <row r="17" spans="1:17">
      <c r="A17" s="144" t="s">
        <v>404</v>
      </c>
      <c r="B17" s="144"/>
      <c r="C17" s="144" t="s">
        <v>393</v>
      </c>
      <c r="D17" s="144"/>
      <c r="E17" s="144"/>
      <c r="F17" s="555">
        <v>0.13</v>
      </c>
      <c r="G17" s="556">
        <v>0.4</v>
      </c>
      <c r="H17" s="555">
        <v>0.01</v>
      </c>
      <c r="I17" s="144"/>
      <c r="J17" s="144"/>
    </row>
    <row r="18" spans="1:17"/>
    <row r="19" spans="1:17" ht="18">
      <c r="D19" s="113" t="s">
        <v>458</v>
      </c>
      <c r="E19" s="113" t="s">
        <v>459</v>
      </c>
      <c r="F19" s="113" t="str">
        <f>F10</f>
        <v>NMHC/NMVOC</v>
      </c>
      <c r="G19" s="113" t="str">
        <f t="shared" ref="G19:H19" si="0">G10</f>
        <v>NOx</v>
      </c>
      <c r="H19" s="113" t="str">
        <f t="shared" si="0"/>
        <v>PM</v>
      </c>
    </row>
    <row r="20" spans="1:17">
      <c r="A20" s="176" t="s">
        <v>82</v>
      </c>
      <c r="B20" s="176" t="s">
        <v>425</v>
      </c>
      <c r="C20" s="176" t="s">
        <v>393</v>
      </c>
      <c r="D20" s="570">
        <f>'Zmiany klimatu (GHG) samochody'!$Q$142</f>
        <v>719</v>
      </c>
      <c r="E20" s="576">
        <v>0.51100000000000001</v>
      </c>
      <c r="F20" s="576">
        <f>1.4*($B$24*$B$25)/($B$23*1000)</f>
        <v>5.0400000000000002E-3</v>
      </c>
      <c r="G20" s="576">
        <v>0.57599999999999996</v>
      </c>
      <c r="H20" s="576">
        <v>2.9000000000000001E-2</v>
      </c>
      <c r="I20" s="176" t="s">
        <v>837</v>
      </c>
    </row>
    <row r="21" spans="1:17" hidden="1" outlineLevel="1"/>
    <row r="22" spans="1:17" hidden="1" outlineLevel="1">
      <c r="A22" s="540" t="s">
        <v>33</v>
      </c>
      <c r="B22" s="137">
        <f>B23/(B24*B25)</f>
        <v>0.27777777777777779</v>
      </c>
    </row>
    <row r="23" spans="1:17" hidden="1" outlineLevel="1">
      <c r="B23" s="87">
        <f>10^6</f>
        <v>1000000</v>
      </c>
      <c r="C23" s="540" t="s">
        <v>45</v>
      </c>
    </row>
    <row r="24" spans="1:17" hidden="1" outlineLevel="1">
      <c r="B24" s="87">
        <f>10^3</f>
        <v>1000</v>
      </c>
      <c r="C24" s="540" t="s">
        <v>46</v>
      </c>
      <c r="Q24"/>
    </row>
    <row r="25" spans="1:17" hidden="1" outlineLevel="1">
      <c r="B25" s="87">
        <f>(60*60)</f>
        <v>3600</v>
      </c>
      <c r="C25" s="540" t="s">
        <v>47</v>
      </c>
      <c r="Q25"/>
    </row>
    <row r="26" spans="1:17" collapsed="1"/>
    <row r="27" spans="1:17">
      <c r="A27" s="113" t="s">
        <v>405</v>
      </c>
    </row>
    <row r="28" spans="1:17">
      <c r="A28" s="1"/>
    </row>
    <row r="29" spans="1:17">
      <c r="A29" s="540" t="s">
        <v>406</v>
      </c>
      <c r="C29" s="544">
        <v>36</v>
      </c>
      <c r="D29" s="540" t="s">
        <v>407</v>
      </c>
      <c r="E29" s="545" t="s">
        <v>408</v>
      </c>
    </row>
    <row r="30" spans="1:17">
      <c r="A30" s="540" t="s">
        <v>409</v>
      </c>
      <c r="B30" s="14" t="s">
        <v>410</v>
      </c>
      <c r="C30" s="540">
        <f>1/$B$22</f>
        <v>3.5999999999999996</v>
      </c>
      <c r="D30" s="540" t="s">
        <v>411</v>
      </c>
      <c r="E30" s="546"/>
    </row>
    <row r="31" spans="1:17">
      <c r="A31" s="540" t="s">
        <v>406</v>
      </c>
      <c r="C31" s="547">
        <f>C29/C30</f>
        <v>10.000000000000002</v>
      </c>
      <c r="D31" s="540" t="s">
        <v>412</v>
      </c>
    </row>
    <row r="32" spans="1:17">
      <c r="A32" s="540" t="s">
        <v>413</v>
      </c>
      <c r="C32" s="544">
        <v>36</v>
      </c>
      <c r="D32" s="540" t="s">
        <v>414</v>
      </c>
    </row>
    <row r="33" spans="1:13">
      <c r="A33" s="176"/>
      <c r="B33" s="540" t="s">
        <v>415</v>
      </c>
      <c r="C33" s="540">
        <v>100</v>
      </c>
      <c r="D33" s="540" t="s">
        <v>168</v>
      </c>
    </row>
    <row r="34" spans="1:13">
      <c r="A34" s="176"/>
      <c r="B34" s="540" t="s">
        <v>416</v>
      </c>
      <c r="C34" s="540">
        <f>C32*C31/C33</f>
        <v>3.6000000000000005</v>
      </c>
      <c r="D34" s="540" t="s">
        <v>416</v>
      </c>
    </row>
    <row r="35" spans="1:13">
      <c r="A35" s="176"/>
      <c r="M35" s="207"/>
    </row>
    <row r="36" spans="1:13">
      <c r="A36" s="176"/>
      <c r="E36" s="1"/>
      <c r="F36" s="113" t="str">
        <f>F10</f>
        <v>NMHC/NMVOC</v>
      </c>
      <c r="G36" s="113" t="str">
        <f>G10</f>
        <v>NOx</v>
      </c>
      <c r="H36" s="113" t="str">
        <f>H10</f>
        <v>PM</v>
      </c>
    </row>
    <row r="37" spans="1:13">
      <c r="A37" s="176" t="s">
        <v>417</v>
      </c>
      <c r="B37" s="544" t="s">
        <v>402</v>
      </c>
      <c r="E37" s="540" t="s">
        <v>418</v>
      </c>
      <c r="F37" s="548">
        <f>VLOOKUP($B$37,$A$11:$H$17,6,FALSE)*$C$34</f>
        <v>0.46800000000000008</v>
      </c>
      <c r="G37" s="548">
        <f>VLOOKUP($B$37,$A$11:$H$17,7,FALSE)*$C$34</f>
        <v>1.4400000000000004</v>
      </c>
      <c r="H37" s="548">
        <f>VLOOKUP($B$37,$A$11:$H$17,8,FALSE)*$C$34</f>
        <v>3.6000000000000004E-2</v>
      </c>
    </row>
    <row r="38" spans="1:13">
      <c r="A38" s="176"/>
    </row>
    <row r="39" spans="1:13" s="552" customFormat="1" ht="18">
      <c r="A39" s="176" t="s">
        <v>485</v>
      </c>
      <c r="B39" s="569">
        <v>3.169</v>
      </c>
      <c r="C39" s="176" t="s">
        <v>838</v>
      </c>
      <c r="D39" s="176"/>
    </row>
    <row r="40" spans="1:13" s="552" customFormat="1">
      <c r="A40" s="176" t="s">
        <v>486</v>
      </c>
      <c r="B40" s="569">
        <v>840</v>
      </c>
      <c r="C40" s="176" t="s">
        <v>839</v>
      </c>
      <c r="D40" s="176"/>
    </row>
    <row r="41" spans="1:13" s="552" customFormat="1" ht="18">
      <c r="A41" s="176" t="s">
        <v>487</v>
      </c>
      <c r="B41" s="569">
        <f>B39*(B40/B42)</f>
        <v>2.6619600000000001</v>
      </c>
      <c r="C41" s="176"/>
      <c r="D41" s="176"/>
    </row>
    <row r="42" spans="1:13" s="552" customFormat="1">
      <c r="A42" s="176"/>
      <c r="B42" s="570">
        <f>10^3</f>
        <v>1000</v>
      </c>
      <c r="C42" s="176" t="s">
        <v>426</v>
      </c>
      <c r="D42" s="176"/>
    </row>
    <row r="43" spans="1:13" s="552" customFormat="1" ht="18" hidden="1" outlineLevel="1">
      <c r="A43" s="573" t="s">
        <v>461</v>
      </c>
      <c r="B43" s="571">
        <v>2.7</v>
      </c>
      <c r="C43" s="572" t="s">
        <v>840</v>
      </c>
      <c r="D43" s="176"/>
    </row>
    <row r="44" spans="1:13" ht="18" collapsed="1">
      <c r="A44" s="176" t="s">
        <v>468</v>
      </c>
      <c r="B44" s="548">
        <f>B41*C32/C33</f>
        <v>0.95830560000000009</v>
      </c>
    </row>
    <row r="45" spans="1:13"/>
    <row r="46" spans="1:13">
      <c r="A46" s="113" t="s">
        <v>419</v>
      </c>
    </row>
    <row r="47" spans="1:13">
      <c r="A47" s="1"/>
    </row>
    <row r="48" spans="1:13" ht="17.25">
      <c r="A48" s="540" t="s">
        <v>420</v>
      </c>
      <c r="C48" s="544">
        <v>33</v>
      </c>
      <c r="D48" s="540" t="s">
        <v>462</v>
      </c>
      <c r="E48" s="545" t="s">
        <v>408</v>
      </c>
    </row>
    <row r="49" spans="1:8">
      <c r="A49" s="540" t="s">
        <v>409</v>
      </c>
      <c r="B49" s="14" t="s">
        <v>410</v>
      </c>
      <c r="C49" s="540">
        <f>1/$B$22</f>
        <v>3.5999999999999996</v>
      </c>
      <c r="D49" s="540" t="s">
        <v>411</v>
      </c>
    </row>
    <row r="50" spans="1:8" ht="17.25">
      <c r="A50" s="540" t="s">
        <v>420</v>
      </c>
      <c r="C50" s="547">
        <f>C48/C49</f>
        <v>9.1666666666666679</v>
      </c>
      <c r="D50" s="540" t="s">
        <v>463</v>
      </c>
    </row>
    <row r="51" spans="1:8">
      <c r="A51" s="540" t="s">
        <v>413</v>
      </c>
      <c r="C51" s="544">
        <v>60</v>
      </c>
      <c r="D51" s="540" t="s">
        <v>421</v>
      </c>
    </row>
    <row r="52" spans="1:8">
      <c r="B52" s="540" t="s">
        <v>415</v>
      </c>
      <c r="C52" s="540">
        <v>100</v>
      </c>
      <c r="D52" s="552" t="s">
        <v>168</v>
      </c>
    </row>
    <row r="53" spans="1:8">
      <c r="B53" s="540" t="s">
        <v>416</v>
      </c>
      <c r="C53" s="115">
        <f>C50*C51/C52</f>
        <v>5.5000000000000009</v>
      </c>
      <c r="D53" s="540" t="s">
        <v>416</v>
      </c>
    </row>
    <row r="54" spans="1:8"/>
    <row r="55" spans="1:8">
      <c r="E55" s="1"/>
      <c r="F55" s="113" t="str">
        <f>F10</f>
        <v>NMHC/NMVOC</v>
      </c>
      <c r="G55" s="113" t="str">
        <f t="shared" ref="G55:H55" si="1">G10</f>
        <v>NOx</v>
      </c>
      <c r="H55" s="113" t="str">
        <f t="shared" si="1"/>
        <v>PM</v>
      </c>
    </row>
    <row r="56" spans="1:8">
      <c r="A56" s="540" t="s">
        <v>417</v>
      </c>
      <c r="B56" s="544" t="s">
        <v>402</v>
      </c>
      <c r="E56" s="540" t="s">
        <v>418</v>
      </c>
      <c r="F56" s="548">
        <f>VLOOKUP($B$56,$A$11:$H$17,6,FALSE)*$C$53</f>
        <v>0.71500000000000019</v>
      </c>
      <c r="G56" s="548">
        <f>VLOOKUP($B$56,$A$11:$H$17,7,FALSE)*$C$53</f>
        <v>2.2000000000000006</v>
      </c>
      <c r="H56" s="549">
        <f>VLOOKUP($B$56,$A$11:$H$17,8,FALSE)*$C$53</f>
        <v>5.5000000000000007E-2</v>
      </c>
    </row>
    <row r="57" spans="1:8" s="552" customFormat="1" ht="18" hidden="1" outlineLevel="1">
      <c r="A57" s="573" t="s">
        <v>465</v>
      </c>
      <c r="B57" s="571">
        <v>2.7429999999999999</v>
      </c>
      <c r="C57" s="572" t="s">
        <v>838</v>
      </c>
    </row>
    <row r="58" spans="1:8" s="552" customFormat="1" hidden="1" outlineLevel="1">
      <c r="A58" s="573" t="s">
        <v>424</v>
      </c>
      <c r="B58" s="571">
        <v>175</v>
      </c>
      <c r="C58" s="572" t="s">
        <v>839</v>
      </c>
    </row>
    <row r="59" spans="1:8" s="552" customFormat="1" ht="18" hidden="1" outlineLevel="1">
      <c r="A59" s="573" t="s">
        <v>466</v>
      </c>
      <c r="B59" s="571">
        <f>B57*(B58/B61)</f>
        <v>0.48002499999999992</v>
      </c>
      <c r="C59" s="572"/>
    </row>
    <row r="60" spans="1:8" s="552" customFormat="1" ht="18.75" hidden="1" outlineLevel="1">
      <c r="A60" s="573" t="s">
        <v>467</v>
      </c>
      <c r="B60" s="571">
        <f>B59*B62</f>
        <v>480.02499999999992</v>
      </c>
      <c r="C60" s="572"/>
    </row>
    <row r="61" spans="1:8" s="552" customFormat="1" hidden="1" outlineLevel="1">
      <c r="A61" s="176"/>
      <c r="B61" s="570">
        <f>10^3</f>
        <v>1000</v>
      </c>
      <c r="C61" s="176" t="s">
        <v>426</v>
      </c>
    </row>
    <row r="62" spans="1:8" s="552" customFormat="1" ht="17.25" hidden="1" outlineLevel="1">
      <c r="A62" s="176"/>
      <c r="B62" s="570">
        <f>10^3</f>
        <v>1000</v>
      </c>
      <c r="C62" s="176" t="s">
        <v>464</v>
      </c>
    </row>
    <row r="63" spans="1:8" ht="18.75" collapsed="1">
      <c r="A63" s="574" t="s">
        <v>488</v>
      </c>
      <c r="B63" s="575">
        <v>1.9</v>
      </c>
      <c r="C63" s="372" t="s">
        <v>840</v>
      </c>
      <c r="E63" s="550"/>
      <c r="F63" s="550"/>
      <c r="G63" s="550"/>
      <c r="H63" s="551"/>
    </row>
    <row r="64" spans="1:8" ht="18">
      <c r="A64" s="540" t="s">
        <v>468</v>
      </c>
      <c r="B64" s="548">
        <f>B63*C51/C52</f>
        <v>1.1399999999999999</v>
      </c>
      <c r="E64" s="550"/>
      <c r="F64" s="550"/>
      <c r="G64" s="550"/>
      <c r="H64" s="551"/>
    </row>
    <row r="65" spans="1:9">
      <c r="E65" s="550"/>
      <c r="F65" s="550"/>
      <c r="G65" s="550"/>
      <c r="H65" s="551"/>
    </row>
    <row r="66" spans="1:9" s="552" customFormat="1">
      <c r="A66" s="113" t="s">
        <v>848</v>
      </c>
      <c r="B66" s="685"/>
      <c r="C66" s="685"/>
      <c r="D66" s="685"/>
      <c r="E66" s="685"/>
      <c r="F66" s="550"/>
      <c r="G66" s="550"/>
      <c r="H66" s="551"/>
      <c r="I66" s="685"/>
    </row>
    <row r="67" spans="1:9" s="552" customFormat="1">
      <c r="A67" s="1"/>
      <c r="B67" s="685"/>
      <c r="C67" s="685"/>
      <c r="D67" s="685"/>
      <c r="E67" s="685"/>
      <c r="F67" s="550"/>
      <c r="G67" s="550"/>
      <c r="H67" s="551"/>
      <c r="I67" s="685"/>
    </row>
    <row r="68" spans="1:9" s="685" customFormat="1">
      <c r="A68" s="685" t="s">
        <v>849</v>
      </c>
      <c r="C68" s="544">
        <v>24</v>
      </c>
      <c r="D68" s="685" t="s">
        <v>407</v>
      </c>
      <c r="E68" s="545" t="s">
        <v>408</v>
      </c>
      <c r="F68" s="550"/>
      <c r="G68" s="550"/>
      <c r="H68" s="551"/>
    </row>
    <row r="69" spans="1:9" s="685" customFormat="1">
      <c r="A69" s="685" t="s">
        <v>409</v>
      </c>
      <c r="B69" s="14" t="s">
        <v>410</v>
      </c>
      <c r="C69" s="685">
        <f>1/$B$22</f>
        <v>3.5999999999999996</v>
      </c>
      <c r="D69" s="685" t="s">
        <v>411</v>
      </c>
      <c r="E69" s="550"/>
      <c r="F69" s="550"/>
      <c r="G69" s="550"/>
      <c r="H69" s="551"/>
    </row>
    <row r="70" spans="1:9" s="685" customFormat="1">
      <c r="A70" s="685" t="s">
        <v>849</v>
      </c>
      <c r="C70" s="547">
        <f>C68/C69</f>
        <v>6.666666666666667</v>
      </c>
      <c r="D70" s="685" t="s">
        <v>412</v>
      </c>
      <c r="E70" s="550"/>
      <c r="F70" s="550"/>
      <c r="G70" s="550"/>
      <c r="H70" s="551"/>
    </row>
    <row r="71" spans="1:9" s="685" customFormat="1">
      <c r="A71" s="685" t="s">
        <v>413</v>
      </c>
      <c r="C71" s="544">
        <v>55</v>
      </c>
      <c r="D71" s="685" t="s">
        <v>414</v>
      </c>
      <c r="E71" s="550"/>
      <c r="F71" s="550"/>
      <c r="G71" s="550"/>
      <c r="H71" s="551"/>
    </row>
    <row r="72" spans="1:9" s="685" customFormat="1">
      <c r="B72" s="685" t="s">
        <v>415</v>
      </c>
      <c r="C72" s="685">
        <v>100</v>
      </c>
      <c r="D72" s="685" t="s">
        <v>168</v>
      </c>
      <c r="E72" s="550"/>
      <c r="F72" s="550"/>
      <c r="G72" s="550"/>
      <c r="H72" s="551"/>
    </row>
    <row r="73" spans="1:9" s="685" customFormat="1">
      <c r="B73" s="685" t="s">
        <v>416</v>
      </c>
      <c r="C73" s="115">
        <f>C70*C71/C72</f>
        <v>3.666666666666667</v>
      </c>
      <c r="D73" s="685" t="s">
        <v>416</v>
      </c>
      <c r="E73" s="550"/>
      <c r="F73" s="550"/>
      <c r="G73" s="550"/>
      <c r="H73" s="551"/>
    </row>
    <row r="74" spans="1:9" s="685" customFormat="1">
      <c r="E74" s="550"/>
      <c r="F74" s="550"/>
      <c r="G74" s="550"/>
      <c r="H74" s="551"/>
    </row>
    <row r="75" spans="1:9" s="685" customFormat="1">
      <c r="E75" s="1"/>
      <c r="F75" s="113" t="str">
        <f>F10</f>
        <v>NMHC/NMVOC</v>
      </c>
      <c r="G75" s="113" t="str">
        <f t="shared" ref="G75:H75" si="2">G10</f>
        <v>NOx</v>
      </c>
      <c r="H75" s="113" t="str">
        <f t="shared" si="2"/>
        <v>PM</v>
      </c>
    </row>
    <row r="76" spans="1:9" s="685" customFormat="1">
      <c r="A76" s="685" t="s">
        <v>417</v>
      </c>
      <c r="B76" s="544" t="s">
        <v>402</v>
      </c>
      <c r="E76" s="685" t="s">
        <v>418</v>
      </c>
      <c r="F76" s="548">
        <f>VLOOKUP($B$76,$A$11:$H$17,6,FALSE)*$C$73</f>
        <v>0.47666666666666674</v>
      </c>
      <c r="G76" s="548">
        <f>VLOOKUP($B$76,$A$11:$H$17,7,FALSE)*$C$73</f>
        <v>1.4666666666666668</v>
      </c>
      <c r="H76" s="549">
        <f>VLOOKUP($B$76,$A$11:$H$17,8,FALSE)*$C$73</f>
        <v>3.6666666666666674E-2</v>
      </c>
    </row>
    <row r="77" spans="1:9" s="685" customFormat="1" ht="18">
      <c r="A77" s="176" t="s">
        <v>485</v>
      </c>
      <c r="B77" s="685">
        <v>3.024</v>
      </c>
      <c r="C77" s="176" t="s">
        <v>838</v>
      </c>
      <c r="E77" s="550"/>
      <c r="F77" s="550"/>
      <c r="G77" s="550"/>
      <c r="H77" s="551"/>
    </row>
    <row r="78" spans="1:9" s="685" customFormat="1">
      <c r="A78" s="176" t="s">
        <v>486</v>
      </c>
      <c r="B78" s="685">
        <v>520</v>
      </c>
      <c r="C78" s="176" t="s">
        <v>839</v>
      </c>
      <c r="E78" s="550"/>
      <c r="F78" s="550"/>
      <c r="G78" s="550"/>
      <c r="H78" s="551"/>
    </row>
    <row r="79" spans="1:9" s="685" customFormat="1" ht="18">
      <c r="A79" s="176" t="s">
        <v>487</v>
      </c>
      <c r="B79" s="569">
        <f>B77*(B78/B80)</f>
        <v>1.5724800000000001</v>
      </c>
      <c r="E79" s="550"/>
      <c r="F79" s="550"/>
      <c r="G79" s="550"/>
      <c r="H79" s="551"/>
    </row>
    <row r="80" spans="1:9" s="685" customFormat="1">
      <c r="B80" s="570">
        <f>10^3</f>
        <v>1000</v>
      </c>
      <c r="C80" s="176" t="s">
        <v>426</v>
      </c>
      <c r="E80" s="550"/>
      <c r="F80" s="550"/>
      <c r="G80" s="550"/>
      <c r="H80" s="551"/>
    </row>
    <row r="81" spans="1:8" s="685" customFormat="1" ht="18" hidden="1" outlineLevel="1">
      <c r="A81" s="573" t="s">
        <v>461</v>
      </c>
      <c r="B81" s="571">
        <v>1.6</v>
      </c>
      <c r="C81" s="572" t="s">
        <v>840</v>
      </c>
      <c r="E81" s="550"/>
      <c r="F81" s="550"/>
      <c r="G81" s="550"/>
      <c r="H81" s="551"/>
    </row>
    <row r="82" spans="1:8" s="685" customFormat="1" ht="18" collapsed="1">
      <c r="A82" s="176" t="s">
        <v>468</v>
      </c>
      <c r="B82" s="548">
        <f>B79*C71/C72</f>
        <v>0.86486400000000008</v>
      </c>
      <c r="E82" s="550"/>
      <c r="F82" s="550"/>
      <c r="G82" s="550"/>
      <c r="H82" s="551"/>
    </row>
    <row r="83" spans="1:8" s="685" customFormat="1">
      <c r="E83" s="550"/>
      <c r="F83" s="550"/>
      <c r="G83" s="550"/>
      <c r="H83" s="551"/>
    </row>
    <row r="84" spans="1:8">
      <c r="A84" s="113" t="s">
        <v>422</v>
      </c>
    </row>
    <row r="85" spans="1:8"/>
    <row r="86" spans="1:8">
      <c r="A86" s="540" t="s">
        <v>841</v>
      </c>
      <c r="C86" s="544">
        <v>139</v>
      </c>
      <c r="D86" s="540" t="s">
        <v>843</v>
      </c>
    </row>
    <row r="87" spans="1:8">
      <c r="B87" s="540" t="s">
        <v>842</v>
      </c>
      <c r="C87" s="540">
        <v>100</v>
      </c>
    </row>
    <row r="88" spans="1:8">
      <c r="B88" s="540" t="s">
        <v>416</v>
      </c>
      <c r="C88" s="115">
        <f>C86/C87</f>
        <v>1.39</v>
      </c>
      <c r="D88" s="540" t="s">
        <v>416</v>
      </c>
    </row>
    <row r="89" spans="1:8">
      <c r="C89" s="115"/>
      <c r="D89" s="115"/>
    </row>
    <row r="90" spans="1:8">
      <c r="E90" s="113" t="str">
        <f>E19</f>
        <v>SO2</v>
      </c>
      <c r="F90" s="113" t="str">
        <f t="shared" ref="F90:H90" si="3">F19</f>
        <v>NMHC/NMVOC</v>
      </c>
      <c r="G90" s="113" t="str">
        <f t="shared" si="3"/>
        <v>NOx</v>
      </c>
      <c r="H90" s="113" t="str">
        <f t="shared" si="3"/>
        <v>PM</v>
      </c>
    </row>
    <row r="91" spans="1:8">
      <c r="C91" s="540" t="s">
        <v>418</v>
      </c>
      <c r="E91" s="548">
        <f>E$20*$C$88</f>
        <v>0.71028999999999998</v>
      </c>
      <c r="F91" s="548">
        <f t="shared" ref="F91:H91" si="4">F$20*$C$88</f>
        <v>7.0055999999999998E-3</v>
      </c>
      <c r="G91" s="548">
        <f t="shared" si="4"/>
        <v>0.80063999999999991</v>
      </c>
      <c r="H91" s="548">
        <f t="shared" si="4"/>
        <v>4.0309999999999999E-2</v>
      </c>
    </row>
    <row r="92" spans="1:8"/>
    <row r="93" spans="1:8" ht="18">
      <c r="A93" s="540" t="s">
        <v>469</v>
      </c>
      <c r="B93" s="176">
        <f>D$20</f>
        <v>719</v>
      </c>
      <c r="C93" s="176" t="s">
        <v>844</v>
      </c>
      <c r="D93" s="176"/>
    </row>
    <row r="94" spans="1:8" ht="18">
      <c r="A94" s="540" t="s">
        <v>468</v>
      </c>
      <c r="B94" s="549">
        <f>B93*C88/1000</f>
        <v>0.99941000000000002</v>
      </c>
    </row>
    <row r="95" spans="1:8" ht="18">
      <c r="A95" s="540" t="s">
        <v>470</v>
      </c>
    </row>
    <row r="96" spans="1:8">
      <c r="A96" s="540" t="s">
        <v>845</v>
      </c>
    </row>
    <row r="97" spans="1:1" ht="18">
      <c r="A97" s="631" t="s">
        <v>471</v>
      </c>
    </row>
    <row r="98" spans="1:1">
      <c r="A98" s="130"/>
    </row>
  </sheetData>
  <dataValidations disablePrompts="1" count="1">
    <dataValidation type="list" allowBlank="1" showInputMessage="1" showErrorMessage="1" sqref="B37 B56 B76">
      <formula1>$A$11:$A$17</formula1>
    </dataValidation>
  </dataValidations>
  <hyperlinks>
    <hyperlink ref="A97" location="'Zmiany klimatu (GHG) samochody'!A180" display="Zmiany wskaźnika emisji CO2 względem roku 2019"/>
  </hyperlink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104"/>
  <sheetViews>
    <sheetView workbookViewId="0">
      <pane xSplit="1" ySplit="2" topLeftCell="P3" activePane="bottomRight" state="frozen"/>
      <selection activeCell="C3" sqref="C3"/>
      <selection pane="topRight" activeCell="C3" sqref="C3"/>
      <selection pane="bottomLeft" activeCell="C3" sqref="C3"/>
      <selection pane="bottomRight" activeCell="P3" sqref="P3"/>
    </sheetView>
  </sheetViews>
  <sheetFormatPr defaultColWidth="0" defaultRowHeight="15" zeroHeight="1" outlineLevelCol="1"/>
  <cols>
    <col min="1" max="1" width="67" customWidth="1"/>
    <col min="2" max="15" width="12.42578125" hidden="1" customWidth="1" outlineLevel="1"/>
    <col min="16" max="16" width="12.42578125" bestFit="1" customWidth="1" collapsed="1"/>
    <col min="17" max="61" width="12.42578125" bestFit="1" customWidth="1"/>
    <col min="62" max="62" width="9.140625" customWidth="1"/>
    <col min="63" max="16384" width="9.140625" hidden="1"/>
  </cols>
  <sheetData>
    <row r="1" spans="1:61">
      <c r="A1" s="518" t="s">
        <v>533</v>
      </c>
      <c r="B1" s="40">
        <v>2001</v>
      </c>
      <c r="C1" s="40">
        <f>B1+1</f>
        <v>2002</v>
      </c>
      <c r="D1" s="40">
        <f t="shared" ref="D1:BI1" si="0">C1+1</f>
        <v>2003</v>
      </c>
      <c r="E1" s="40">
        <f t="shared" si="0"/>
        <v>2004</v>
      </c>
      <c r="F1" s="40">
        <f t="shared" si="0"/>
        <v>2005</v>
      </c>
      <c r="G1" s="40">
        <f t="shared" si="0"/>
        <v>2006</v>
      </c>
      <c r="H1" s="40">
        <f t="shared" si="0"/>
        <v>2007</v>
      </c>
      <c r="I1" s="40">
        <f t="shared" si="0"/>
        <v>2008</v>
      </c>
      <c r="J1" s="40">
        <f t="shared" si="0"/>
        <v>2009</v>
      </c>
      <c r="K1" s="40">
        <f t="shared" si="0"/>
        <v>2010</v>
      </c>
      <c r="L1" s="40">
        <f t="shared" si="0"/>
        <v>2011</v>
      </c>
      <c r="M1" s="40">
        <f t="shared" si="0"/>
        <v>2012</v>
      </c>
      <c r="N1" s="40">
        <f t="shared" si="0"/>
        <v>2013</v>
      </c>
      <c r="O1" s="40">
        <f t="shared" si="0"/>
        <v>2014</v>
      </c>
      <c r="P1" s="40">
        <f t="shared" si="0"/>
        <v>2015</v>
      </c>
      <c r="Q1" s="40">
        <f t="shared" si="0"/>
        <v>2016</v>
      </c>
      <c r="R1" s="40">
        <f t="shared" si="0"/>
        <v>2017</v>
      </c>
      <c r="S1" s="40">
        <f t="shared" si="0"/>
        <v>2018</v>
      </c>
      <c r="T1" s="40">
        <f t="shared" si="0"/>
        <v>2019</v>
      </c>
      <c r="U1" s="40">
        <f t="shared" si="0"/>
        <v>2020</v>
      </c>
      <c r="V1" s="40">
        <f t="shared" si="0"/>
        <v>2021</v>
      </c>
      <c r="W1" s="40">
        <f t="shared" si="0"/>
        <v>2022</v>
      </c>
      <c r="X1" s="40">
        <f t="shared" si="0"/>
        <v>2023</v>
      </c>
      <c r="Y1" s="40">
        <f t="shared" si="0"/>
        <v>2024</v>
      </c>
      <c r="Z1" s="40">
        <f t="shared" si="0"/>
        <v>2025</v>
      </c>
      <c r="AA1" s="40">
        <f t="shared" si="0"/>
        <v>2026</v>
      </c>
      <c r="AB1" s="40">
        <f t="shared" si="0"/>
        <v>2027</v>
      </c>
      <c r="AC1" s="40">
        <f t="shared" si="0"/>
        <v>2028</v>
      </c>
      <c r="AD1" s="40">
        <f t="shared" si="0"/>
        <v>2029</v>
      </c>
      <c r="AE1" s="40">
        <f t="shared" si="0"/>
        <v>2030</v>
      </c>
      <c r="AF1" s="40">
        <f t="shared" si="0"/>
        <v>2031</v>
      </c>
      <c r="AG1" s="40">
        <f t="shared" si="0"/>
        <v>2032</v>
      </c>
      <c r="AH1" s="40">
        <f t="shared" si="0"/>
        <v>2033</v>
      </c>
      <c r="AI1" s="40">
        <f t="shared" si="0"/>
        <v>2034</v>
      </c>
      <c r="AJ1" s="40">
        <f t="shared" si="0"/>
        <v>2035</v>
      </c>
      <c r="AK1" s="40">
        <f t="shared" si="0"/>
        <v>2036</v>
      </c>
      <c r="AL1" s="40">
        <f t="shared" si="0"/>
        <v>2037</v>
      </c>
      <c r="AM1" s="40">
        <f t="shared" si="0"/>
        <v>2038</v>
      </c>
      <c r="AN1" s="40">
        <f t="shared" si="0"/>
        <v>2039</v>
      </c>
      <c r="AO1" s="40">
        <f t="shared" si="0"/>
        <v>2040</v>
      </c>
      <c r="AP1" s="40">
        <f t="shared" si="0"/>
        <v>2041</v>
      </c>
      <c r="AQ1" s="40">
        <f t="shared" si="0"/>
        <v>2042</v>
      </c>
      <c r="AR1" s="40">
        <f t="shared" si="0"/>
        <v>2043</v>
      </c>
      <c r="AS1" s="40">
        <f t="shared" si="0"/>
        <v>2044</v>
      </c>
      <c r="AT1" s="40">
        <f t="shared" si="0"/>
        <v>2045</v>
      </c>
      <c r="AU1" s="40">
        <f t="shared" si="0"/>
        <v>2046</v>
      </c>
      <c r="AV1" s="40">
        <f t="shared" si="0"/>
        <v>2047</v>
      </c>
      <c r="AW1" s="40">
        <f t="shared" si="0"/>
        <v>2048</v>
      </c>
      <c r="AX1" s="40">
        <f t="shared" si="0"/>
        <v>2049</v>
      </c>
      <c r="AY1" s="40">
        <f t="shared" si="0"/>
        <v>2050</v>
      </c>
      <c r="AZ1" s="40">
        <f t="shared" si="0"/>
        <v>2051</v>
      </c>
      <c r="BA1" s="40">
        <f t="shared" si="0"/>
        <v>2052</v>
      </c>
      <c r="BB1" s="40">
        <f t="shared" si="0"/>
        <v>2053</v>
      </c>
      <c r="BC1" s="40">
        <f t="shared" si="0"/>
        <v>2054</v>
      </c>
      <c r="BD1" s="40">
        <f t="shared" si="0"/>
        <v>2055</v>
      </c>
      <c r="BE1" s="40">
        <f t="shared" si="0"/>
        <v>2056</v>
      </c>
      <c r="BF1" s="40">
        <f t="shared" si="0"/>
        <v>2057</v>
      </c>
      <c r="BG1" s="40">
        <f t="shared" si="0"/>
        <v>2058</v>
      </c>
      <c r="BH1" s="40">
        <f t="shared" si="0"/>
        <v>2059</v>
      </c>
      <c r="BI1" s="40">
        <f t="shared" si="0"/>
        <v>2060</v>
      </c>
    </row>
    <row r="2" spans="1:61">
      <c r="A2" t="s">
        <v>897</v>
      </c>
      <c r="P2" s="67"/>
      <c r="Q2" s="67"/>
      <c r="R2" s="67"/>
      <c r="S2" s="67"/>
      <c r="T2" s="67"/>
      <c r="U2" s="67"/>
      <c r="V2" s="67"/>
      <c r="W2" s="67"/>
    </row>
    <row r="3" spans="1:61">
      <c r="B3" s="691"/>
      <c r="C3" s="691"/>
      <c r="D3" s="691"/>
      <c r="E3" s="691"/>
      <c r="F3" s="691"/>
      <c r="G3" s="691"/>
      <c r="H3" s="691"/>
      <c r="I3" s="691"/>
      <c r="J3" s="691"/>
      <c r="K3" s="691"/>
      <c r="L3" s="691"/>
      <c r="M3" s="691"/>
      <c r="N3" s="691"/>
      <c r="O3" s="691"/>
      <c r="P3" s="691"/>
      <c r="Q3" s="691"/>
      <c r="R3" s="691"/>
      <c r="S3" s="691"/>
      <c r="T3" s="691"/>
      <c r="U3" s="691"/>
      <c r="V3" s="736"/>
      <c r="W3" s="736"/>
      <c r="X3" s="50"/>
      <c r="Y3" s="736"/>
      <c r="Z3" s="691"/>
      <c r="AA3" s="691"/>
      <c r="AB3" s="691"/>
      <c r="AC3" s="691"/>
      <c r="AD3" s="691"/>
      <c r="AE3" s="691"/>
      <c r="AF3" s="691"/>
      <c r="AG3" s="691"/>
      <c r="AH3" s="691"/>
      <c r="AI3" s="691"/>
      <c r="AJ3" s="691"/>
      <c r="AK3" s="691"/>
      <c r="AL3" s="691"/>
      <c r="AM3" s="691"/>
      <c r="AN3" s="691"/>
      <c r="AO3" s="691"/>
      <c r="AP3" s="691"/>
      <c r="AQ3" s="691"/>
      <c r="AR3" s="691"/>
      <c r="AS3" s="691"/>
      <c r="AT3" s="691"/>
      <c r="AU3" s="691"/>
      <c r="AV3" s="691"/>
      <c r="AW3" s="691"/>
      <c r="AX3" s="691"/>
      <c r="AY3" s="691"/>
      <c r="AZ3" s="691"/>
      <c r="BA3" s="691"/>
      <c r="BB3" s="691"/>
      <c r="BC3" s="691"/>
      <c r="BD3" s="691"/>
      <c r="BE3" s="691"/>
      <c r="BF3" s="691"/>
      <c r="BG3" s="691"/>
      <c r="BH3" s="691"/>
      <c r="BI3" s="691"/>
    </row>
    <row r="4" spans="1:61" ht="15.75">
      <c r="A4" s="57" t="s">
        <v>20</v>
      </c>
      <c r="B4" s="57"/>
      <c r="C4" s="57"/>
      <c r="D4" s="57"/>
      <c r="E4" s="57"/>
      <c r="F4" s="57"/>
      <c r="G4" s="57"/>
      <c r="H4" s="57"/>
      <c r="I4" s="57"/>
      <c r="J4" s="57"/>
      <c r="K4" s="57"/>
      <c r="L4" s="57"/>
      <c r="M4" s="57"/>
      <c r="N4" s="57"/>
      <c r="O4" s="57"/>
      <c r="P4" s="691"/>
      <c r="Q4" s="691"/>
      <c r="R4" s="691"/>
      <c r="S4" s="691"/>
      <c r="T4" s="691"/>
      <c r="U4" s="691"/>
      <c r="V4" s="736"/>
      <c r="W4" s="736"/>
      <c r="X4" s="655"/>
      <c r="Y4" s="736"/>
      <c r="Z4" s="691"/>
      <c r="AA4" s="691"/>
      <c r="AB4" s="691"/>
      <c r="AC4" s="691"/>
      <c r="AD4" s="691"/>
      <c r="AE4" s="691"/>
      <c r="AF4" s="691"/>
      <c r="AG4" s="691"/>
      <c r="AH4" s="691"/>
      <c r="AI4" s="691"/>
      <c r="AJ4" s="691"/>
      <c r="AK4" s="691"/>
      <c r="AL4" s="691"/>
      <c r="AM4" s="691"/>
      <c r="AN4" s="691"/>
      <c r="AO4" s="691"/>
      <c r="AP4" s="691"/>
      <c r="AQ4" s="691"/>
      <c r="AR4" s="691"/>
      <c r="AS4" s="691"/>
      <c r="AT4" s="691"/>
      <c r="AU4" s="691"/>
      <c r="AV4" s="691"/>
      <c r="AW4" s="691"/>
      <c r="AX4" s="691"/>
      <c r="AY4" s="691"/>
      <c r="AZ4" s="691"/>
      <c r="BA4" s="691"/>
      <c r="BB4" s="691"/>
      <c r="BC4" s="691"/>
      <c r="BD4" s="691"/>
      <c r="BE4" s="691"/>
      <c r="BF4" s="691"/>
      <c r="BG4" s="691"/>
      <c r="BH4" s="691"/>
      <c r="BI4" s="691"/>
    </row>
    <row r="5" spans="1:61">
      <c r="B5" s="115"/>
      <c r="C5" s="115"/>
      <c r="D5" s="115"/>
      <c r="E5" s="115"/>
      <c r="F5" s="115"/>
      <c r="G5" s="115"/>
      <c r="H5" s="115"/>
      <c r="I5" s="115"/>
      <c r="J5" s="115"/>
      <c r="K5" s="115"/>
      <c r="L5" s="115"/>
      <c r="M5" s="115"/>
      <c r="N5" s="115"/>
      <c r="O5" s="115"/>
      <c r="P5" s="115"/>
      <c r="Q5" s="115"/>
      <c r="R5" s="115"/>
      <c r="S5" s="115"/>
      <c r="T5" s="115"/>
      <c r="U5" s="115"/>
      <c r="V5" s="115"/>
      <c r="W5" s="115"/>
      <c r="X5" s="693"/>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row>
    <row r="6" spans="1:61">
      <c r="A6" s="41" t="s">
        <v>14</v>
      </c>
      <c r="B6" s="92">
        <v>105.5</v>
      </c>
      <c r="C6" s="92">
        <v>101.9</v>
      </c>
      <c r="D6" s="739">
        <v>100.8</v>
      </c>
      <c r="E6" s="739">
        <v>103.5</v>
      </c>
      <c r="F6" s="739">
        <v>102.1</v>
      </c>
      <c r="G6" s="739">
        <v>101</v>
      </c>
      <c r="H6" s="739">
        <v>102.5</v>
      </c>
      <c r="I6" s="739">
        <v>104.2</v>
      </c>
      <c r="J6" s="739">
        <v>103.5</v>
      </c>
      <c r="K6" s="739">
        <v>102.6</v>
      </c>
      <c r="L6" s="739">
        <v>104.3</v>
      </c>
      <c r="M6" s="739">
        <v>103.7</v>
      </c>
      <c r="N6" s="739">
        <v>100.9</v>
      </c>
      <c r="O6" s="739">
        <v>100</v>
      </c>
      <c r="P6" s="739">
        <v>99.1</v>
      </c>
      <c r="Q6" s="739">
        <v>99.4</v>
      </c>
      <c r="R6" s="42">
        <v>102</v>
      </c>
      <c r="S6" s="42">
        <v>101.6</v>
      </c>
      <c r="T6" s="42">
        <v>102.3</v>
      </c>
      <c r="U6" s="42">
        <v>103.4</v>
      </c>
      <c r="V6" s="42">
        <v>105.1</v>
      </c>
      <c r="W6" s="42">
        <v>114.4</v>
      </c>
      <c r="X6" s="746">
        <v>111.4</v>
      </c>
      <c r="Y6" s="740"/>
      <c r="Z6" s="740"/>
      <c r="AA6" s="740"/>
      <c r="AB6" s="740"/>
      <c r="AC6" s="740"/>
      <c r="AD6" s="740"/>
      <c r="AE6" s="740"/>
      <c r="AF6" s="740"/>
      <c r="AG6" s="740"/>
      <c r="AH6" s="740"/>
      <c r="AI6" s="740"/>
      <c r="AJ6" s="740"/>
      <c r="AK6" s="740"/>
      <c r="AL6" s="740"/>
      <c r="AM6" s="740"/>
      <c r="AN6" s="740"/>
      <c r="AO6" s="740"/>
      <c r="AP6" s="740"/>
      <c r="AQ6" s="740"/>
      <c r="AR6" s="740"/>
      <c r="AS6" s="740"/>
      <c r="AT6" s="740"/>
      <c r="AU6" s="740"/>
      <c r="AV6" s="740"/>
      <c r="AW6" s="740"/>
      <c r="AX6" s="740"/>
      <c r="AY6" s="740"/>
      <c r="AZ6" s="740"/>
      <c r="BA6" s="740"/>
      <c r="BB6" s="740"/>
      <c r="BC6" s="740"/>
      <c r="BD6" s="740"/>
      <c r="BE6" s="740"/>
      <c r="BF6" s="740"/>
      <c r="BG6" s="740"/>
      <c r="BH6" s="740"/>
      <c r="BI6" s="740"/>
    </row>
    <row r="7" spans="1:61">
      <c r="A7" s="37" t="s">
        <v>932</v>
      </c>
      <c r="B7" s="695"/>
      <c r="C7" s="695"/>
      <c r="D7" s="695"/>
      <c r="E7" s="695"/>
      <c r="F7" s="695"/>
      <c r="G7" s="695"/>
      <c r="H7" s="695"/>
      <c r="I7" s="695"/>
      <c r="J7" s="695"/>
      <c r="K7" s="695"/>
      <c r="L7" s="695"/>
      <c r="M7" s="695"/>
      <c r="N7" s="695"/>
      <c r="O7" s="695"/>
      <c r="P7" s="696"/>
      <c r="Q7" s="696"/>
      <c r="R7" s="697"/>
      <c r="S7" s="697"/>
      <c r="T7" s="697"/>
      <c r="U7" s="697"/>
      <c r="V7" s="697"/>
      <c r="W7" s="697"/>
      <c r="X7" s="698"/>
      <c r="Y7" s="700"/>
      <c r="Z7" s="700"/>
      <c r="AA7" s="700"/>
      <c r="AB7" s="700"/>
      <c r="AC7" s="700"/>
      <c r="AD7" s="700"/>
      <c r="AE7" s="700"/>
      <c r="AF7" s="700"/>
      <c r="AG7" s="700"/>
      <c r="AH7" s="700"/>
      <c r="AI7" s="700"/>
      <c r="AJ7" s="700"/>
      <c r="AK7" s="700"/>
      <c r="AL7" s="700"/>
      <c r="AM7" s="700"/>
      <c r="AN7" s="700"/>
      <c r="AO7" s="700"/>
      <c r="AP7" s="700"/>
      <c r="AQ7" s="700"/>
      <c r="AR7" s="700"/>
      <c r="AS7" s="700"/>
      <c r="AT7" s="700"/>
      <c r="AU7" s="700"/>
      <c r="AV7" s="700"/>
      <c r="AW7" s="700"/>
      <c r="AX7" s="700"/>
      <c r="AY7" s="700"/>
      <c r="AZ7" s="700"/>
      <c r="BA7" s="700"/>
      <c r="BB7" s="700"/>
      <c r="BC7" s="700"/>
      <c r="BD7" s="700"/>
      <c r="BE7" s="700"/>
      <c r="BF7" s="700"/>
      <c r="BG7" s="700"/>
      <c r="BH7" s="700"/>
      <c r="BI7" s="700"/>
    </row>
    <row r="8" spans="1:61">
      <c r="B8" s="115"/>
      <c r="C8" s="115"/>
      <c r="D8" s="115"/>
      <c r="E8" s="115"/>
      <c r="F8" s="115"/>
      <c r="G8" s="115"/>
      <c r="H8" s="115"/>
      <c r="I8" s="115"/>
      <c r="J8" s="115"/>
      <c r="K8" s="115"/>
      <c r="L8" s="115"/>
      <c r="M8" s="115"/>
      <c r="N8" s="115"/>
      <c r="O8" s="115"/>
      <c r="P8" s="115"/>
      <c r="Q8" s="115"/>
      <c r="R8" s="115"/>
      <c r="S8" s="115"/>
      <c r="T8" s="115"/>
      <c r="U8" s="115"/>
      <c r="V8" s="115"/>
      <c r="W8" s="115"/>
      <c r="X8" s="693"/>
      <c r="Y8" s="701"/>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row>
    <row r="9" spans="1:61">
      <c r="A9" s="41" t="s">
        <v>534</v>
      </c>
      <c r="B9" s="92">
        <v>101.3</v>
      </c>
      <c r="C9" s="42">
        <v>102</v>
      </c>
      <c r="D9" s="42">
        <v>103.5</v>
      </c>
      <c r="E9" s="42">
        <v>105</v>
      </c>
      <c r="F9" s="42">
        <v>103.5</v>
      </c>
      <c r="G9" s="42">
        <v>106.1</v>
      </c>
      <c r="H9" s="42">
        <v>107.1</v>
      </c>
      <c r="I9" s="42">
        <v>104.2</v>
      </c>
      <c r="J9" s="42">
        <v>102.8</v>
      </c>
      <c r="K9" s="42">
        <v>103.4</v>
      </c>
      <c r="L9" s="42">
        <v>105</v>
      </c>
      <c r="M9" s="42">
        <v>101.5</v>
      </c>
      <c r="N9" s="42">
        <v>100.9</v>
      </c>
      <c r="O9" s="42">
        <v>103.8</v>
      </c>
      <c r="P9" s="42">
        <v>104.4</v>
      </c>
      <c r="Q9" s="739">
        <v>103</v>
      </c>
      <c r="R9" s="42">
        <v>105.1</v>
      </c>
      <c r="S9" s="42">
        <v>105.9</v>
      </c>
      <c r="T9" s="42">
        <v>104.5</v>
      </c>
      <c r="U9" s="42">
        <v>98</v>
      </c>
      <c r="V9" s="42">
        <v>106.9</v>
      </c>
      <c r="W9" s="747">
        <v>105.6</v>
      </c>
      <c r="X9" s="746">
        <v>100.2</v>
      </c>
      <c r="Y9" s="741"/>
      <c r="Z9" s="740"/>
      <c r="AA9" s="740"/>
      <c r="AB9" s="740"/>
      <c r="AC9" s="740"/>
      <c r="AD9" s="740"/>
      <c r="AE9" s="740"/>
      <c r="AF9" s="740"/>
      <c r="AG9" s="740"/>
      <c r="AH9" s="740"/>
      <c r="AI9" s="740"/>
      <c r="AJ9" s="740"/>
      <c r="AK9" s="740"/>
      <c r="AL9" s="740"/>
      <c r="AM9" s="740"/>
      <c r="AN9" s="740"/>
      <c r="AO9" s="740"/>
      <c r="AP9" s="740"/>
      <c r="AQ9" s="740"/>
      <c r="AR9" s="740"/>
      <c r="AS9" s="740"/>
      <c r="AT9" s="740"/>
      <c r="AU9" s="740"/>
      <c r="AV9" s="740"/>
      <c r="AW9" s="740"/>
      <c r="AX9" s="740"/>
      <c r="AY9" s="740"/>
      <c r="AZ9" s="740"/>
      <c r="BA9" s="740"/>
      <c r="BB9" s="740"/>
      <c r="BC9" s="740"/>
      <c r="BD9" s="740"/>
      <c r="BE9" s="740"/>
      <c r="BF9" s="740"/>
      <c r="BG9" s="740"/>
      <c r="BH9" s="740"/>
      <c r="BI9" s="740"/>
    </row>
    <row r="10" spans="1:61">
      <c r="A10" s="37" t="s">
        <v>933</v>
      </c>
      <c r="B10" s="695"/>
      <c r="C10" s="695"/>
      <c r="D10" s="695"/>
      <c r="E10" s="695"/>
      <c r="F10" s="695"/>
      <c r="G10" s="695"/>
      <c r="H10" s="695"/>
      <c r="I10" s="695"/>
      <c r="J10" s="695"/>
      <c r="K10" s="695"/>
      <c r="L10" s="695"/>
      <c r="M10" s="695"/>
      <c r="N10" s="695"/>
      <c r="O10" s="695"/>
      <c r="P10" s="697"/>
      <c r="Q10" s="697"/>
      <c r="R10" s="697"/>
      <c r="S10" s="697"/>
      <c r="T10" s="700"/>
      <c r="U10" s="700"/>
      <c r="V10" s="700"/>
      <c r="W10" s="700"/>
      <c r="X10" s="702"/>
      <c r="Y10" s="699"/>
      <c r="Z10" s="700"/>
      <c r="AA10" s="700"/>
      <c r="AB10" s="700"/>
      <c r="AC10" s="700"/>
      <c r="AD10" s="700"/>
      <c r="AE10" s="700"/>
      <c r="AF10" s="700"/>
      <c r="AG10" s="700"/>
      <c r="AH10" s="700"/>
      <c r="AI10" s="700"/>
      <c r="AJ10" s="700"/>
      <c r="AK10" s="700"/>
      <c r="AL10" s="700"/>
      <c r="AM10" s="700"/>
      <c r="AN10" s="700"/>
      <c r="AO10" s="700"/>
      <c r="AP10" s="700"/>
      <c r="AQ10" s="700"/>
      <c r="AR10" s="700"/>
      <c r="AS10" s="700"/>
      <c r="AT10" s="700"/>
      <c r="AU10" s="700"/>
      <c r="AV10" s="700"/>
      <c r="AW10" s="700"/>
      <c r="AX10" s="700"/>
      <c r="AY10" s="700"/>
      <c r="AZ10" s="700"/>
      <c r="BA10" s="700"/>
      <c r="BB10" s="700"/>
      <c r="BC10" s="700"/>
      <c r="BD10" s="700"/>
      <c r="BE10" s="700"/>
      <c r="BF10" s="700"/>
      <c r="BG10" s="700"/>
      <c r="BH10" s="700"/>
      <c r="BI10" s="700"/>
    </row>
    <row r="11" spans="1:61">
      <c r="A11" s="39"/>
      <c r="B11" s="703"/>
      <c r="C11" s="703"/>
      <c r="D11" s="703"/>
      <c r="E11" s="703"/>
      <c r="F11" s="703"/>
      <c r="G11" s="703"/>
      <c r="H11" s="703"/>
      <c r="I11" s="703"/>
      <c r="J11" s="703"/>
      <c r="K11" s="703"/>
      <c r="L11" s="703"/>
      <c r="M11" s="703"/>
      <c r="N11" s="703"/>
      <c r="O11" s="703"/>
      <c r="P11" s="704"/>
      <c r="Q11" s="704"/>
      <c r="R11" s="704"/>
      <c r="S11" s="704"/>
      <c r="T11" s="704"/>
      <c r="U11" s="704"/>
      <c r="V11" s="704"/>
      <c r="W11" s="704"/>
      <c r="X11" s="705"/>
      <c r="Y11" s="706"/>
      <c r="Z11" s="707"/>
      <c r="AA11" s="707"/>
      <c r="AB11" s="707"/>
      <c r="AC11" s="707"/>
      <c r="AD11" s="707"/>
      <c r="AE11" s="707"/>
      <c r="AF11" s="707"/>
      <c r="AG11" s="707"/>
      <c r="AH11" s="707"/>
      <c r="AI11" s="707"/>
      <c r="AJ11" s="707"/>
      <c r="AK11" s="707"/>
      <c r="AL11" s="707"/>
      <c r="AM11" s="707"/>
      <c r="AN11" s="707"/>
      <c r="AO11" s="707"/>
      <c r="AP11" s="707"/>
      <c r="AQ11" s="707"/>
      <c r="AR11" s="707"/>
      <c r="AS11" s="707"/>
      <c r="AT11" s="707"/>
      <c r="AU11" s="707"/>
      <c r="AV11" s="707"/>
      <c r="AW11" s="707"/>
      <c r="AX11" s="707"/>
      <c r="AY11" s="707"/>
      <c r="AZ11" s="707"/>
      <c r="BA11" s="707"/>
      <c r="BB11" s="707"/>
      <c r="BC11" s="707"/>
      <c r="BD11" s="707"/>
      <c r="BE11" s="707"/>
      <c r="BF11" s="707"/>
      <c r="BG11" s="707"/>
      <c r="BH11" s="707"/>
      <c r="BI11" s="707"/>
    </row>
    <row r="12" spans="1:61">
      <c r="A12" s="41" t="s">
        <v>535</v>
      </c>
      <c r="B12" s="92">
        <v>38242.199999999997</v>
      </c>
      <c r="C12" s="42">
        <v>38218.5</v>
      </c>
      <c r="D12" s="42">
        <v>38190.6</v>
      </c>
      <c r="E12" s="42">
        <v>38173.800000000003</v>
      </c>
      <c r="F12" s="42">
        <v>38157.1</v>
      </c>
      <c r="G12" s="42">
        <v>38125.5</v>
      </c>
      <c r="H12" s="42">
        <v>38115.599999999999</v>
      </c>
      <c r="I12" s="42">
        <v>38135.9</v>
      </c>
      <c r="J12" s="42">
        <v>38167.300000000003</v>
      </c>
      <c r="K12" s="42">
        <v>38529.9</v>
      </c>
      <c r="L12" s="42">
        <v>38538.400000000001</v>
      </c>
      <c r="M12" s="42">
        <v>38533.300000000003</v>
      </c>
      <c r="N12" s="42">
        <v>38495.699999999997</v>
      </c>
      <c r="O12" s="42">
        <v>38478.6</v>
      </c>
      <c r="P12" s="42">
        <v>38437.199999999997</v>
      </c>
      <c r="Q12" s="42">
        <v>38433</v>
      </c>
      <c r="R12" s="43">
        <v>38433.599999999999</v>
      </c>
      <c r="S12" s="43">
        <v>38411.1</v>
      </c>
      <c r="T12" s="43">
        <v>38382.6</v>
      </c>
      <c r="U12" s="43">
        <v>38088.6</v>
      </c>
      <c r="V12" s="43">
        <v>37907.699999999997</v>
      </c>
      <c r="W12" s="43">
        <v>37766.300000000003</v>
      </c>
      <c r="X12" s="746">
        <v>37636.5</v>
      </c>
      <c r="Y12" s="52"/>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row>
    <row r="13" spans="1:61">
      <c r="A13" s="41" t="s">
        <v>15</v>
      </c>
      <c r="B13" s="91"/>
      <c r="C13" s="93">
        <f t="shared" ref="C13:X13" si="1">C12/B12</f>
        <v>0.99938026577968853</v>
      </c>
      <c r="D13" s="45">
        <f t="shared" si="1"/>
        <v>0.99926998704815728</v>
      </c>
      <c r="E13" s="45">
        <f t="shared" si="1"/>
        <v>0.99956010117672944</v>
      </c>
      <c r="F13" s="45">
        <f t="shared" si="1"/>
        <v>0.99956252717832639</v>
      </c>
      <c r="G13" s="45">
        <f t="shared" si="1"/>
        <v>0.99917184482049215</v>
      </c>
      <c r="H13" s="45">
        <f t="shared" si="1"/>
        <v>0.99974033127434392</v>
      </c>
      <c r="I13" s="45">
        <f t="shared" si="1"/>
        <v>1.0005325903304685</v>
      </c>
      <c r="J13" s="45">
        <f t="shared" si="1"/>
        <v>1.0008233711542143</v>
      </c>
      <c r="K13" s="45">
        <f t="shared" si="1"/>
        <v>1.009500279034671</v>
      </c>
      <c r="L13" s="45">
        <f t="shared" si="1"/>
        <v>1.0002206078915337</v>
      </c>
      <c r="M13" s="45">
        <f t="shared" si="1"/>
        <v>0.9998676644593445</v>
      </c>
      <c r="N13" s="45">
        <f t="shared" si="1"/>
        <v>0.99902422060918727</v>
      </c>
      <c r="O13" s="45">
        <f t="shared" si="1"/>
        <v>0.99955579454328669</v>
      </c>
      <c r="P13" s="45">
        <f t="shared" si="1"/>
        <v>0.99892407727931887</v>
      </c>
      <c r="Q13" s="45">
        <f t="shared" si="1"/>
        <v>0.99989073085448477</v>
      </c>
      <c r="R13" s="45">
        <f t="shared" si="1"/>
        <v>1.000015611583795</v>
      </c>
      <c r="S13" s="45">
        <f t="shared" si="1"/>
        <v>0.99941457474709627</v>
      </c>
      <c r="T13" s="45">
        <f t="shared" si="1"/>
        <v>0.99925802697657706</v>
      </c>
      <c r="U13" s="45">
        <f t="shared" si="1"/>
        <v>0.99234027918900747</v>
      </c>
      <c r="V13" s="45">
        <f t="shared" si="1"/>
        <v>0.99525054740788577</v>
      </c>
      <c r="W13" s="45">
        <f t="shared" si="1"/>
        <v>0.99626988712055875</v>
      </c>
      <c r="X13" s="53">
        <f t="shared" si="1"/>
        <v>0.99656307342789729</v>
      </c>
      <c r="Y13" s="54"/>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row>
    <row r="14" spans="1:61">
      <c r="A14" s="37" t="s">
        <v>934</v>
      </c>
      <c r="B14" s="708"/>
      <c r="C14" s="708"/>
      <c r="D14" s="708"/>
      <c r="E14" s="708"/>
      <c r="F14" s="708"/>
      <c r="G14" s="708"/>
      <c r="H14" s="708"/>
      <c r="I14" s="708"/>
      <c r="J14" s="708"/>
      <c r="K14" s="708"/>
      <c r="L14" s="708"/>
      <c r="M14" s="708"/>
      <c r="N14" s="708"/>
      <c r="O14" s="708"/>
      <c r="P14" s="637"/>
      <c r="Q14" s="637"/>
      <c r="R14" s="637"/>
      <c r="S14" s="637"/>
      <c r="T14" s="637"/>
      <c r="U14" s="637"/>
      <c r="V14" s="637"/>
      <c r="W14" s="637"/>
      <c r="X14" s="709"/>
      <c r="Y14" s="710"/>
      <c r="Z14" s="711"/>
      <c r="AA14" s="711"/>
      <c r="AB14" s="711"/>
      <c r="AC14" s="711"/>
      <c r="AD14" s="711"/>
      <c r="AE14" s="711"/>
      <c r="AF14" s="711"/>
      <c r="AG14" s="711"/>
      <c r="AH14" s="711"/>
      <c r="AI14" s="711"/>
      <c r="AJ14" s="711"/>
      <c r="AK14" s="711"/>
      <c r="AL14" s="711"/>
      <c r="AM14" s="711"/>
      <c r="AN14" s="711"/>
      <c r="AO14" s="711"/>
      <c r="AP14" s="711"/>
      <c r="AQ14" s="711"/>
      <c r="AR14" s="711"/>
      <c r="AS14" s="711"/>
      <c r="AT14" s="711"/>
      <c r="AU14" s="711"/>
      <c r="AV14" s="711"/>
      <c r="AW14" s="711"/>
      <c r="AX14" s="711"/>
      <c r="AY14" s="711"/>
      <c r="AZ14" s="711"/>
      <c r="BA14" s="711"/>
      <c r="BB14" s="711"/>
      <c r="BC14" s="711"/>
      <c r="BD14" s="711"/>
      <c r="BE14" s="711"/>
      <c r="BF14" s="711"/>
      <c r="BG14" s="711"/>
      <c r="BH14" s="711"/>
      <c r="BI14" s="711"/>
    </row>
    <row r="15" spans="1:61">
      <c r="A15" s="39"/>
      <c r="B15" s="712"/>
      <c r="C15" s="712"/>
      <c r="D15" s="712"/>
      <c r="E15" s="712"/>
      <c r="F15" s="712"/>
      <c r="G15" s="712"/>
      <c r="H15" s="712"/>
      <c r="I15" s="712"/>
      <c r="J15" s="712"/>
      <c r="K15" s="712"/>
      <c r="L15" s="712"/>
      <c r="M15" s="712"/>
      <c r="N15" s="712"/>
      <c r="O15" s="712"/>
      <c r="P15" s="713"/>
      <c r="Q15" s="713"/>
      <c r="R15" s="713"/>
      <c r="S15" s="713"/>
      <c r="T15" s="713"/>
      <c r="U15" s="713"/>
      <c r="V15" s="713"/>
      <c r="W15" s="713"/>
      <c r="X15" s="714"/>
      <c r="Y15" s="715"/>
      <c r="Z15" s="716"/>
      <c r="AA15" s="716"/>
      <c r="AB15" s="716"/>
      <c r="AC15" s="716"/>
      <c r="AD15" s="716"/>
      <c r="AE15" s="716"/>
      <c r="AF15" s="716"/>
      <c r="AG15" s="716"/>
      <c r="AH15" s="716"/>
      <c r="AI15" s="716"/>
      <c r="AJ15" s="716"/>
      <c r="AK15" s="716"/>
      <c r="AL15" s="716"/>
      <c r="AM15" s="716"/>
      <c r="AN15" s="716"/>
      <c r="AO15" s="716"/>
      <c r="AP15" s="716"/>
      <c r="AQ15" s="716"/>
      <c r="AR15" s="716"/>
      <c r="AS15" s="716"/>
      <c r="AT15" s="716"/>
      <c r="AU15" s="716"/>
      <c r="AV15" s="716"/>
      <c r="AW15" s="716"/>
      <c r="AX15" s="716"/>
      <c r="AY15" s="716"/>
      <c r="AZ15" s="716"/>
      <c r="BA15" s="716"/>
      <c r="BB15" s="716"/>
      <c r="BC15" s="716"/>
      <c r="BD15" s="716"/>
      <c r="BE15" s="716"/>
      <c r="BF15" s="716"/>
      <c r="BG15" s="716"/>
      <c r="BH15" s="716"/>
      <c r="BI15" s="716"/>
    </row>
    <row r="16" spans="1:61">
      <c r="A16" s="41" t="s">
        <v>536</v>
      </c>
      <c r="B16" s="742"/>
      <c r="C16" s="743">
        <f t="shared" ref="C16:O16" si="2">(C9-100)/C13+100</f>
        <v>102.00124023705797</v>
      </c>
      <c r="D16" s="43">
        <f t="shared" si="2"/>
        <v>103.50255691191026</v>
      </c>
      <c r="E16" s="43">
        <f t="shared" si="2"/>
        <v>105.00220046209704</v>
      </c>
      <c r="F16" s="43">
        <f t="shared" si="2"/>
        <v>103.50153182500766</v>
      </c>
      <c r="G16" s="43">
        <f t="shared" si="2"/>
        <v>106.10505593369267</v>
      </c>
      <c r="H16" s="43">
        <f t="shared" si="2"/>
        <v>107.10184412681421</v>
      </c>
      <c r="I16" s="43">
        <f t="shared" si="2"/>
        <v>104.19776431131821</v>
      </c>
      <c r="J16" s="43">
        <f t="shared" si="2"/>
        <v>102.79769645743869</v>
      </c>
      <c r="K16" s="43">
        <f t="shared" si="2"/>
        <v>103.36800303141197</v>
      </c>
      <c r="L16" s="43">
        <f t="shared" si="2"/>
        <v>104.99889720382787</v>
      </c>
      <c r="M16" s="43">
        <f t="shared" si="2"/>
        <v>101.5001985295835</v>
      </c>
      <c r="N16" s="43">
        <f t="shared" si="2"/>
        <v>100.9008790592196</v>
      </c>
      <c r="O16" s="43">
        <f t="shared" si="2"/>
        <v>103.80168873087898</v>
      </c>
      <c r="P16" s="43">
        <f t="shared" ref="P16:X16" si="3">(P9-100)/P13+100</f>
        <v>104.40473915893978</v>
      </c>
      <c r="Q16" s="43">
        <f t="shared" si="3"/>
        <v>103.0003278432597</v>
      </c>
      <c r="R16" s="43">
        <f t="shared" si="3"/>
        <v>105.09992038216561</v>
      </c>
      <c r="S16" s="43">
        <f t="shared" si="3"/>
        <v>105.90345603224068</v>
      </c>
      <c r="T16" s="43">
        <f t="shared" si="3"/>
        <v>104.50334135780275</v>
      </c>
      <c r="U16" s="43">
        <f t="shared" si="3"/>
        <v>97.984562309982508</v>
      </c>
      <c r="V16" s="43">
        <f t="shared" si="3"/>
        <v>106.93292761101307</v>
      </c>
      <c r="W16" s="43">
        <f t="shared" si="3"/>
        <v>105.62096684080781</v>
      </c>
      <c r="X16" s="638">
        <f t="shared" si="3"/>
        <v>100.200689755955</v>
      </c>
      <c r="Y16" s="740"/>
      <c r="Z16" s="740"/>
      <c r="AA16" s="740"/>
      <c r="AB16" s="740"/>
      <c r="AC16" s="740"/>
      <c r="AD16" s="740"/>
      <c r="AE16" s="740"/>
      <c r="AF16" s="740"/>
      <c r="AG16" s="740"/>
      <c r="AH16" s="740"/>
      <c r="AI16" s="740"/>
      <c r="AJ16" s="740"/>
      <c r="AK16" s="740"/>
      <c r="AL16" s="740"/>
      <c r="AM16" s="740"/>
      <c r="AN16" s="740"/>
      <c r="AO16" s="740"/>
      <c r="AP16" s="740"/>
      <c r="AQ16" s="740"/>
      <c r="AR16" s="740"/>
      <c r="AS16" s="740"/>
      <c r="AT16" s="740"/>
      <c r="AU16" s="740"/>
      <c r="AV16" s="740"/>
      <c r="AW16" s="740"/>
      <c r="AX16" s="740"/>
      <c r="AY16" s="740"/>
      <c r="AZ16" s="740"/>
      <c r="BA16" s="740"/>
      <c r="BB16" s="740"/>
      <c r="BC16" s="740"/>
      <c r="BD16" s="740"/>
      <c r="BE16" s="740"/>
      <c r="BF16" s="740"/>
      <c r="BG16" s="740"/>
      <c r="BH16" s="740"/>
      <c r="BI16" s="740"/>
    </row>
    <row r="17" spans="1:61">
      <c r="A17" s="37" t="s">
        <v>21</v>
      </c>
      <c r="B17" s="695"/>
      <c r="C17" s="695"/>
      <c r="D17" s="695"/>
      <c r="E17" s="695"/>
      <c r="F17" s="695"/>
      <c r="G17" s="695"/>
      <c r="H17" s="695"/>
      <c r="I17" s="695"/>
      <c r="J17" s="695"/>
      <c r="K17" s="695"/>
      <c r="L17" s="695"/>
      <c r="M17" s="695"/>
      <c r="N17" s="695"/>
      <c r="O17" s="695"/>
      <c r="P17" s="697"/>
      <c r="Q17" s="697"/>
      <c r="R17" s="697"/>
      <c r="S17" s="697"/>
      <c r="T17" s="697"/>
      <c r="U17" s="697"/>
      <c r="V17" s="697"/>
      <c r="W17" s="697"/>
      <c r="X17" s="698"/>
      <c r="Y17" s="697"/>
      <c r="Z17" s="697"/>
      <c r="AA17" s="697"/>
      <c r="AB17" s="697"/>
      <c r="AC17" s="697"/>
      <c r="AD17" s="697"/>
      <c r="AE17" s="697"/>
      <c r="AF17" s="697"/>
      <c r="AG17" s="697"/>
      <c r="AH17" s="697"/>
      <c r="AI17" s="697"/>
      <c r="AJ17" s="697"/>
      <c r="AK17" s="697"/>
      <c r="AL17" s="697"/>
      <c r="AM17" s="697"/>
      <c r="AN17" s="697"/>
      <c r="AO17" s="697"/>
      <c r="AP17" s="697"/>
      <c r="AQ17" s="697"/>
      <c r="AR17" s="697"/>
      <c r="AS17" s="697"/>
      <c r="AT17" s="697"/>
      <c r="AU17" s="697"/>
      <c r="AV17" s="697"/>
      <c r="AW17" s="697"/>
      <c r="AX17" s="697"/>
      <c r="AY17" s="697"/>
      <c r="AZ17" s="697"/>
      <c r="BA17" s="697"/>
      <c r="BB17" s="697"/>
      <c r="BC17" s="697"/>
      <c r="BD17" s="697"/>
      <c r="BE17" s="697"/>
      <c r="BF17" s="697"/>
      <c r="BG17" s="697"/>
      <c r="BH17" s="697"/>
      <c r="BI17" s="697"/>
    </row>
    <row r="18" spans="1:61">
      <c r="B18" s="115"/>
      <c r="C18" s="115"/>
      <c r="D18" s="115"/>
      <c r="E18" s="115"/>
      <c r="F18" s="115"/>
      <c r="G18" s="115"/>
      <c r="H18" s="115"/>
      <c r="I18" s="115"/>
      <c r="J18" s="115"/>
      <c r="K18" s="115"/>
      <c r="L18" s="115"/>
      <c r="M18" s="115"/>
      <c r="N18" s="115"/>
      <c r="O18" s="115"/>
      <c r="P18" s="115"/>
      <c r="Q18" s="115"/>
      <c r="R18" s="115"/>
      <c r="S18" s="115"/>
      <c r="T18" s="115"/>
      <c r="U18" s="115"/>
      <c r="V18" s="115"/>
      <c r="W18" s="145"/>
      <c r="X18" s="693"/>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row>
    <row r="19" spans="1:61">
      <c r="A19" s="36" t="s">
        <v>537</v>
      </c>
      <c r="B19" s="744"/>
      <c r="C19" s="744"/>
      <c r="D19" s="744"/>
      <c r="E19" s="744"/>
      <c r="F19" s="744"/>
      <c r="G19" s="744"/>
      <c r="H19" s="744"/>
      <c r="I19" s="744"/>
      <c r="J19" s="744"/>
      <c r="K19" s="744"/>
      <c r="L19" s="744"/>
      <c r="M19" s="744"/>
      <c r="N19" s="744"/>
      <c r="O19" s="744"/>
      <c r="P19" s="744"/>
      <c r="Q19" s="744"/>
      <c r="R19" s="744"/>
      <c r="S19" s="744"/>
      <c r="T19" s="744"/>
      <c r="U19" s="744"/>
      <c r="V19" s="744"/>
      <c r="W19" s="743">
        <f>W9</f>
        <v>105.6</v>
      </c>
      <c r="X19" s="745">
        <f>X9</f>
        <v>100.2</v>
      </c>
      <c r="Y19" s="748">
        <v>103.1</v>
      </c>
      <c r="Z19" s="747">
        <v>103.7</v>
      </c>
      <c r="AA19" s="747">
        <v>103.4</v>
      </c>
      <c r="AB19" s="747">
        <v>103</v>
      </c>
      <c r="AC19" s="747">
        <v>103.1</v>
      </c>
      <c r="AD19" s="747">
        <v>102.8</v>
      </c>
      <c r="AE19" s="747">
        <v>102.6</v>
      </c>
      <c r="AF19" s="747">
        <v>102.3</v>
      </c>
      <c r="AG19" s="747">
        <v>102.1</v>
      </c>
      <c r="AH19" s="747">
        <v>102.1</v>
      </c>
      <c r="AI19" s="747">
        <v>102.1</v>
      </c>
      <c r="AJ19" s="747">
        <v>101.9</v>
      </c>
      <c r="AK19" s="747">
        <v>101.8</v>
      </c>
      <c r="AL19" s="747">
        <v>101.7</v>
      </c>
      <c r="AM19" s="747">
        <v>101.6</v>
      </c>
      <c r="AN19" s="747">
        <v>101.4</v>
      </c>
      <c r="AO19" s="747">
        <v>101.2</v>
      </c>
      <c r="AP19" s="747">
        <v>101.1</v>
      </c>
      <c r="AQ19" s="747">
        <v>100.9</v>
      </c>
      <c r="AR19" s="747">
        <v>100.8</v>
      </c>
      <c r="AS19" s="747">
        <v>100.8</v>
      </c>
      <c r="AT19" s="747">
        <v>100.8</v>
      </c>
      <c r="AU19" s="747">
        <v>100.8</v>
      </c>
      <c r="AV19" s="747">
        <v>100.8</v>
      </c>
      <c r="AW19" s="747">
        <v>100.8</v>
      </c>
      <c r="AX19" s="747">
        <v>100.7</v>
      </c>
      <c r="AY19" s="747">
        <v>100.7</v>
      </c>
      <c r="AZ19" s="747">
        <v>100.7</v>
      </c>
      <c r="BA19" s="747">
        <v>100.7</v>
      </c>
      <c r="BB19" s="747">
        <v>100.8</v>
      </c>
      <c r="BC19" s="747">
        <v>100.8</v>
      </c>
      <c r="BD19" s="747">
        <v>100.8</v>
      </c>
      <c r="BE19" s="747">
        <v>100.8</v>
      </c>
      <c r="BF19" s="747">
        <v>100.9</v>
      </c>
      <c r="BG19" s="747">
        <v>100.9</v>
      </c>
      <c r="BH19" s="747">
        <v>100.9</v>
      </c>
      <c r="BI19" s="747">
        <v>101</v>
      </c>
    </row>
    <row r="20" spans="1:61">
      <c r="A20" s="37" t="s">
        <v>935</v>
      </c>
      <c r="B20" s="695"/>
      <c r="C20" s="695"/>
      <c r="D20" s="695"/>
      <c r="E20" s="695"/>
      <c r="F20" s="695"/>
      <c r="G20" s="695"/>
      <c r="H20" s="695"/>
      <c r="I20" s="695"/>
      <c r="J20" s="695"/>
      <c r="K20" s="695"/>
      <c r="L20" s="695"/>
      <c r="M20" s="695"/>
      <c r="N20" s="695"/>
      <c r="O20" s="695"/>
      <c r="P20" s="700"/>
      <c r="Q20" s="700"/>
      <c r="R20" s="700"/>
      <c r="S20" s="700"/>
      <c r="T20" s="700"/>
      <c r="U20" s="700"/>
      <c r="V20" s="700"/>
      <c r="W20" s="700"/>
      <c r="X20" s="702"/>
      <c r="Y20" s="697"/>
      <c r="Z20" s="697"/>
      <c r="AA20" s="697"/>
      <c r="AB20" s="697"/>
      <c r="AC20" s="697"/>
      <c r="AD20" s="697"/>
      <c r="AE20" s="697"/>
      <c r="AF20" s="697"/>
      <c r="AG20" s="697"/>
      <c r="AH20" s="697"/>
      <c r="AI20" s="697"/>
      <c r="AJ20" s="697"/>
      <c r="AK20" s="697"/>
      <c r="AL20" s="697"/>
      <c r="AM20" s="697"/>
      <c r="AN20" s="697"/>
      <c r="AO20" s="697"/>
      <c r="AP20" s="697"/>
      <c r="AQ20" s="697"/>
      <c r="AR20" s="697"/>
      <c r="AS20" s="697"/>
      <c r="AT20" s="697"/>
      <c r="AU20" s="697"/>
      <c r="AV20" s="697"/>
      <c r="AW20" s="697"/>
      <c r="AX20" s="697"/>
      <c r="AY20" s="697"/>
      <c r="AZ20" s="697"/>
      <c r="BA20" s="697"/>
      <c r="BB20" s="697"/>
      <c r="BC20" s="697"/>
      <c r="BD20" s="697"/>
      <c r="BE20" s="697"/>
      <c r="BF20" s="697"/>
      <c r="BG20" s="697"/>
      <c r="BH20" s="697"/>
      <c r="BI20" s="697"/>
    </row>
    <row r="21" spans="1:61">
      <c r="A21" s="46"/>
      <c r="B21" s="712"/>
      <c r="C21" s="712"/>
      <c r="D21" s="712"/>
      <c r="E21" s="712"/>
      <c r="F21" s="712"/>
      <c r="G21" s="712"/>
      <c r="H21" s="712"/>
      <c r="I21" s="712"/>
      <c r="J21" s="712"/>
      <c r="K21" s="712"/>
      <c r="L21" s="712"/>
      <c r="M21" s="712"/>
      <c r="N21" s="712"/>
      <c r="O21" s="712"/>
      <c r="P21" s="115"/>
      <c r="Q21" s="115"/>
      <c r="R21" s="115"/>
      <c r="S21" s="115"/>
      <c r="T21" s="115"/>
      <c r="U21" s="115"/>
      <c r="V21" s="115"/>
      <c r="W21" s="115"/>
      <c r="X21" s="693"/>
      <c r="Y21" s="69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712"/>
      <c r="AZ21" s="115"/>
      <c r="BA21" s="115"/>
      <c r="BB21" s="115"/>
      <c r="BC21" s="115"/>
      <c r="BD21" s="115"/>
      <c r="BE21" s="115"/>
      <c r="BF21" s="115"/>
      <c r="BG21" s="115"/>
      <c r="BH21" s="115"/>
      <c r="BI21" s="115"/>
    </row>
    <row r="22" spans="1:61">
      <c r="A22" s="36" t="s">
        <v>538</v>
      </c>
      <c r="B22" s="94"/>
      <c r="C22" s="94"/>
      <c r="D22" s="94"/>
      <c r="E22" s="94"/>
      <c r="F22" s="94"/>
      <c r="G22" s="94"/>
      <c r="H22" s="94"/>
      <c r="I22" s="94"/>
      <c r="J22" s="94"/>
      <c r="K22" s="94"/>
      <c r="L22" s="94"/>
      <c r="M22" s="94"/>
      <c r="N22" s="94"/>
      <c r="O22" s="94"/>
      <c r="P22" s="94"/>
      <c r="Q22" s="94"/>
      <c r="R22" s="94"/>
      <c r="S22" s="94"/>
      <c r="T22" s="94"/>
      <c r="U22" s="94"/>
      <c r="V22" s="94"/>
      <c r="W22" s="749">
        <v>37766327</v>
      </c>
      <c r="X22" s="750">
        <v>37650773</v>
      </c>
      <c r="Y22" s="751">
        <v>37532044</v>
      </c>
      <c r="Z22" s="749">
        <v>37412189</v>
      </c>
      <c r="AA22" s="749">
        <v>37288794</v>
      </c>
      <c r="AB22" s="749">
        <v>37254771</v>
      </c>
      <c r="AC22" s="749">
        <v>37252993</v>
      </c>
      <c r="AD22" s="749">
        <v>37172231</v>
      </c>
      <c r="AE22" s="749">
        <v>37049551</v>
      </c>
      <c r="AF22" s="749">
        <v>36906903</v>
      </c>
      <c r="AG22" s="749">
        <v>36750047</v>
      </c>
      <c r="AH22" s="749">
        <v>36581214</v>
      </c>
      <c r="AI22" s="749">
        <v>36405733</v>
      </c>
      <c r="AJ22" s="749">
        <v>36223944</v>
      </c>
      <c r="AK22" s="749">
        <v>36036856</v>
      </c>
      <c r="AL22" s="749">
        <v>35847455</v>
      </c>
      <c r="AM22" s="749">
        <v>35654059</v>
      </c>
      <c r="AN22" s="749">
        <v>35457605</v>
      </c>
      <c r="AO22" s="749">
        <v>35258862</v>
      </c>
      <c r="AP22" s="749">
        <v>35058188</v>
      </c>
      <c r="AQ22" s="749">
        <v>34855960</v>
      </c>
      <c r="AR22" s="749">
        <v>34654531</v>
      </c>
      <c r="AS22" s="749">
        <v>34451798</v>
      </c>
      <c r="AT22" s="749">
        <v>34245295</v>
      </c>
      <c r="AU22" s="749">
        <v>34037787</v>
      </c>
      <c r="AV22" s="749">
        <v>33829362</v>
      </c>
      <c r="AW22" s="749">
        <v>33619626</v>
      </c>
      <c r="AX22" s="749">
        <v>33410504</v>
      </c>
      <c r="AY22" s="749">
        <v>33199662</v>
      </c>
      <c r="AZ22" s="749">
        <v>32986858</v>
      </c>
      <c r="BA22" s="749">
        <v>32769153</v>
      </c>
      <c r="BB22" s="749">
        <v>32549146</v>
      </c>
      <c r="BC22" s="749">
        <v>32326537</v>
      </c>
      <c r="BD22" s="749">
        <v>32100957</v>
      </c>
      <c r="BE22" s="749">
        <v>31872540</v>
      </c>
      <c r="BF22" s="749">
        <v>31641340</v>
      </c>
      <c r="BG22" s="749">
        <v>31404722</v>
      </c>
      <c r="BH22" s="749">
        <v>31165365</v>
      </c>
      <c r="BI22" s="749">
        <v>30925606</v>
      </c>
    </row>
    <row r="23" spans="1:61">
      <c r="A23" s="36" t="s">
        <v>16</v>
      </c>
      <c r="B23" s="91"/>
      <c r="C23" s="91"/>
      <c r="D23" s="91"/>
      <c r="E23" s="91"/>
      <c r="F23" s="91"/>
      <c r="G23" s="91"/>
      <c r="H23" s="91"/>
      <c r="I23" s="91"/>
      <c r="J23" s="91"/>
      <c r="K23" s="91"/>
      <c r="L23" s="91"/>
      <c r="M23" s="91"/>
      <c r="N23" s="91"/>
      <c r="O23" s="91"/>
      <c r="P23" s="91"/>
      <c r="Q23" s="91"/>
      <c r="R23" s="91"/>
      <c r="S23" s="91"/>
      <c r="T23" s="91"/>
      <c r="U23" s="91"/>
      <c r="V23" s="91"/>
      <c r="W23" s="91"/>
      <c r="X23" s="55">
        <f t="shared" ref="X23:BI23" si="4">X22/W22</f>
        <v>0.99694029022202768</v>
      </c>
      <c r="Y23" s="56">
        <f t="shared" si="4"/>
        <v>0.99684657204780369</v>
      </c>
      <c r="Z23" s="47">
        <f t="shared" si="4"/>
        <v>0.99680659545214223</v>
      </c>
      <c r="AA23" s="47">
        <f t="shared" si="4"/>
        <v>0.99670174338101414</v>
      </c>
      <c r="AB23" s="47">
        <f t="shared" si="4"/>
        <v>0.99908758111082918</v>
      </c>
      <c r="AC23" s="47">
        <f t="shared" si="4"/>
        <v>0.99995227456907465</v>
      </c>
      <c r="AD23" s="47">
        <f t="shared" si="4"/>
        <v>0.99783206680869907</v>
      </c>
      <c r="AE23" s="47">
        <f t="shared" si="4"/>
        <v>0.9966996869248983</v>
      </c>
      <c r="AF23" s="47">
        <f t="shared" si="4"/>
        <v>0.99614980489237237</v>
      </c>
      <c r="AG23" s="47">
        <f t="shared" si="4"/>
        <v>0.99574995496100016</v>
      </c>
      <c r="AH23" s="47">
        <f t="shared" si="4"/>
        <v>0.99540591063733874</v>
      </c>
      <c r="AI23" s="47">
        <f t="shared" si="4"/>
        <v>0.99520297494774235</v>
      </c>
      <c r="AJ23" s="47">
        <f t="shared" si="4"/>
        <v>0.99500658316644797</v>
      </c>
      <c r="AK23" s="47">
        <f t="shared" si="4"/>
        <v>0.99483523936543183</v>
      </c>
      <c r="AL23" s="47">
        <f t="shared" si="4"/>
        <v>0.99474424183952115</v>
      </c>
      <c r="AM23" s="47">
        <f t="shared" si="4"/>
        <v>0.99460502844623144</v>
      </c>
      <c r="AN23" s="47">
        <f t="shared" si="4"/>
        <v>0.99448999621613909</v>
      </c>
      <c r="AO23" s="47">
        <f t="shared" si="4"/>
        <v>0.99439491189548757</v>
      </c>
      <c r="AP23" s="47">
        <f t="shared" si="4"/>
        <v>0.99430855142176744</v>
      </c>
      <c r="AQ23" s="47">
        <f t="shared" si="4"/>
        <v>0.99423164711193857</v>
      </c>
      <c r="AR23" s="47">
        <f t="shared" si="4"/>
        <v>0.99422110307677658</v>
      </c>
      <c r="AS23" s="47">
        <f t="shared" si="4"/>
        <v>0.99414988475821531</v>
      </c>
      <c r="AT23" s="47">
        <f t="shared" si="4"/>
        <v>0.99400603126722153</v>
      </c>
      <c r="AU23" s="47">
        <f t="shared" si="4"/>
        <v>0.99394053986102326</v>
      </c>
      <c r="AV23" s="47">
        <f t="shared" si="4"/>
        <v>0.99387665831506611</v>
      </c>
      <c r="AW23" s="47">
        <f t="shared" si="4"/>
        <v>0.99380017867318926</v>
      </c>
      <c r="AX23" s="47">
        <f t="shared" si="4"/>
        <v>0.9937797642365207</v>
      </c>
      <c r="AY23" s="47">
        <f t="shared" si="4"/>
        <v>0.99368934991223123</v>
      </c>
      <c r="AZ23" s="47">
        <f t="shared" si="4"/>
        <v>0.99359017570721053</v>
      </c>
      <c r="BA23" s="47">
        <f t="shared" si="4"/>
        <v>0.99340025048763358</v>
      </c>
      <c r="BB23" s="47">
        <f t="shared" si="4"/>
        <v>0.99328615542794163</v>
      </c>
      <c r="BC23" s="47">
        <f t="shared" si="4"/>
        <v>0.99316083438871172</v>
      </c>
      <c r="BD23" s="47">
        <f t="shared" si="4"/>
        <v>0.99302183218697382</v>
      </c>
      <c r="BE23" s="47">
        <f t="shared" si="4"/>
        <v>0.99288441774492886</v>
      </c>
      <c r="BF23" s="47">
        <f t="shared" si="4"/>
        <v>0.99274610683679432</v>
      </c>
      <c r="BG23" s="47">
        <f t="shared" si="4"/>
        <v>0.99252187170328432</v>
      </c>
      <c r="BH23" s="47">
        <f t="shared" si="4"/>
        <v>0.99237831177107694</v>
      </c>
      <c r="BI23" s="47">
        <f t="shared" si="4"/>
        <v>0.99230687655992478</v>
      </c>
    </row>
    <row r="24" spans="1:61">
      <c r="A24" s="37" t="s">
        <v>936</v>
      </c>
      <c r="B24" s="717"/>
      <c r="C24" s="717"/>
      <c r="D24" s="717"/>
      <c r="E24" s="717"/>
      <c r="F24" s="717"/>
      <c r="G24" s="717"/>
      <c r="H24" s="717"/>
      <c r="I24" s="717"/>
      <c r="J24" s="717"/>
      <c r="K24" s="717"/>
      <c r="L24" s="717"/>
      <c r="M24" s="717"/>
      <c r="N24" s="717"/>
      <c r="O24" s="717"/>
      <c r="P24" s="718"/>
      <c r="Q24" s="718"/>
      <c r="R24" s="718"/>
      <c r="S24" s="718"/>
      <c r="T24" s="718"/>
      <c r="U24" s="718"/>
      <c r="V24" s="718"/>
      <c r="W24" s="718"/>
      <c r="X24" s="719"/>
      <c r="Y24" s="720"/>
      <c r="Z24" s="718"/>
      <c r="AA24" s="718"/>
      <c r="AB24" s="718"/>
      <c r="AC24" s="718"/>
      <c r="AD24" s="718"/>
      <c r="AE24" s="718"/>
      <c r="AF24" s="718"/>
      <c r="AG24" s="718"/>
      <c r="AH24" s="718"/>
      <c r="AI24" s="718"/>
      <c r="AJ24" s="718"/>
      <c r="AK24" s="718"/>
      <c r="AL24" s="718"/>
      <c r="AM24" s="718"/>
      <c r="AN24" s="718"/>
      <c r="AO24" s="718"/>
      <c r="AP24" s="718"/>
      <c r="AQ24" s="718"/>
      <c r="AR24" s="718"/>
      <c r="AS24" s="718"/>
      <c r="AT24" s="718"/>
      <c r="AU24" s="718"/>
      <c r="AV24" s="718"/>
      <c r="AW24" s="718"/>
      <c r="AX24" s="718"/>
      <c r="AY24" s="718"/>
      <c r="AZ24" s="718"/>
      <c r="BA24" s="718"/>
      <c r="BB24" s="718"/>
      <c r="BC24" s="718"/>
      <c r="BD24" s="718"/>
      <c r="BE24" s="718"/>
      <c r="BF24" s="718"/>
      <c r="BG24" s="718"/>
      <c r="BH24" s="718"/>
      <c r="BI24" s="718"/>
    </row>
    <row r="25" spans="1:61">
      <c r="A25" s="46"/>
      <c r="B25" s="721"/>
      <c r="C25" s="721"/>
      <c r="D25" s="721"/>
      <c r="E25" s="721"/>
      <c r="F25" s="721"/>
      <c r="G25" s="721"/>
      <c r="H25" s="721"/>
      <c r="I25" s="721"/>
      <c r="J25" s="721"/>
      <c r="K25" s="721"/>
      <c r="L25" s="721"/>
      <c r="M25" s="721"/>
      <c r="N25" s="721"/>
      <c r="O25" s="721"/>
      <c r="P25" s="128"/>
      <c r="Q25" s="128"/>
      <c r="R25" s="128"/>
      <c r="S25" s="128"/>
      <c r="T25" s="128"/>
      <c r="U25" s="128"/>
      <c r="V25" s="128"/>
      <c r="W25" s="128"/>
      <c r="X25" s="722"/>
      <c r="Y25" s="723"/>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8"/>
      <c r="BI25" s="128"/>
    </row>
    <row r="26" spans="1:61">
      <c r="A26" s="36" t="s">
        <v>539</v>
      </c>
      <c r="B26" s="91"/>
      <c r="C26" s="91"/>
      <c r="D26" s="91"/>
      <c r="E26" s="91"/>
      <c r="F26" s="91"/>
      <c r="G26" s="91"/>
      <c r="H26" s="91"/>
      <c r="I26" s="91"/>
      <c r="J26" s="91"/>
      <c r="K26" s="91"/>
      <c r="L26" s="91"/>
      <c r="M26" s="91"/>
      <c r="N26" s="91"/>
      <c r="O26" s="91"/>
      <c r="P26" s="91"/>
      <c r="Q26" s="91"/>
      <c r="R26" s="91"/>
      <c r="S26" s="91"/>
      <c r="T26" s="91"/>
      <c r="U26" s="91"/>
      <c r="V26" s="91"/>
      <c r="W26" s="91"/>
      <c r="X26" s="738">
        <f t="shared" ref="X26:Y26" si="5">X19/100/X23</f>
        <v>1.0050752385349433</v>
      </c>
      <c r="Y26" s="56">
        <f t="shared" si="5"/>
        <v>1.034261469026307</v>
      </c>
      <c r="Z26" s="47">
        <f t="shared" ref="Z26:BI26" si="6">Z19/100/Z23</f>
        <v>1.04032216954747</v>
      </c>
      <c r="AA26" s="47">
        <f t="shared" si="6"/>
        <v>1.0374216829324112</v>
      </c>
      <c r="AB26" s="47">
        <f t="shared" si="6"/>
        <v>1.0309406497224207</v>
      </c>
      <c r="AC26" s="47">
        <f t="shared" si="6"/>
        <v>1.031049207267722</v>
      </c>
      <c r="AD26" s="47">
        <f t="shared" si="6"/>
        <v>1.0302334773503372</v>
      </c>
      <c r="AE26" s="47">
        <f t="shared" si="6"/>
        <v>1.0293973334791562</v>
      </c>
      <c r="AF26" s="47">
        <f t="shared" si="6"/>
        <v>1.0269539731632318</v>
      </c>
      <c r="AG26" s="47">
        <f t="shared" si="6"/>
        <v>1.0253578169029278</v>
      </c>
      <c r="AH26" s="47">
        <f t="shared" si="6"/>
        <v>1.0257122135695114</v>
      </c>
      <c r="AI26" s="47">
        <f t="shared" si="6"/>
        <v>1.0259213705160117</v>
      </c>
      <c r="AJ26" s="47">
        <f t="shared" si="6"/>
        <v>1.0241138272243355</v>
      </c>
      <c r="AK26" s="47">
        <f t="shared" si="6"/>
        <v>1.0232850222006049</v>
      </c>
      <c r="AL26" s="47">
        <f t="shared" si="6"/>
        <v>1.0223733470618768</v>
      </c>
      <c r="AM26" s="47">
        <f t="shared" si="6"/>
        <v>1.0215110229104629</v>
      </c>
      <c r="AN26" s="47">
        <f t="shared" si="6"/>
        <v>1.0196180995868165</v>
      </c>
      <c r="AO26" s="47">
        <f t="shared" si="6"/>
        <v>1.0177043223913467</v>
      </c>
      <c r="AP26" s="47">
        <f t="shared" si="6"/>
        <v>1.0167869908735727</v>
      </c>
      <c r="AQ26" s="47">
        <f t="shared" si="6"/>
        <v>1.0148540362107372</v>
      </c>
      <c r="AR26" s="47">
        <f t="shared" si="6"/>
        <v>1.0138589865781187</v>
      </c>
      <c r="AS26" s="47">
        <f t="shared" si="6"/>
        <v>1.0139316168056018</v>
      </c>
      <c r="AT26" s="47">
        <f t="shared" si="6"/>
        <v>1.0140783539461407</v>
      </c>
      <c r="AU26" s="47">
        <f t="shared" si="6"/>
        <v>1.0141451722463626</v>
      </c>
      <c r="AV26" s="47">
        <f t="shared" si="6"/>
        <v>1.0142103565535763</v>
      </c>
      <c r="AW26" s="47">
        <f t="shared" si="6"/>
        <v>1.0142884068966145</v>
      </c>
      <c r="AX26" s="47">
        <f t="shared" si="6"/>
        <v>1.0133029834569391</v>
      </c>
      <c r="AY26" s="47">
        <f t="shared" si="6"/>
        <v>1.0133951823967364</v>
      </c>
      <c r="AZ26" s="47">
        <f t="shared" si="6"/>
        <v>1.0134963334185998</v>
      </c>
      <c r="BA26" s="47">
        <f t="shared" si="6"/>
        <v>1.0136901007481032</v>
      </c>
      <c r="BB26" s="47">
        <f t="shared" si="6"/>
        <v>1.0148132987575158</v>
      </c>
      <c r="BC26" s="47">
        <f t="shared" si="6"/>
        <v>1.0149413519920183</v>
      </c>
      <c r="BD26" s="47">
        <f t="shared" si="6"/>
        <v>1.01508342246619</v>
      </c>
      <c r="BE26" s="47">
        <f t="shared" si="6"/>
        <v>1.0152239092334656</v>
      </c>
      <c r="BF26" s="47">
        <f t="shared" si="6"/>
        <v>1.0163726586800685</v>
      </c>
      <c r="BG26" s="47">
        <f t="shared" si="6"/>
        <v>1.0166022822937266</v>
      </c>
      <c r="BH26" s="47">
        <f t="shared" si="6"/>
        <v>1.0167493465261839</v>
      </c>
      <c r="BI26" s="47">
        <f t="shared" si="6"/>
        <v>1.0178302940935093</v>
      </c>
    </row>
    <row r="27" spans="1:61">
      <c r="A27" s="37" t="s">
        <v>17</v>
      </c>
      <c r="B27" s="708"/>
      <c r="C27" s="708"/>
      <c r="D27" s="708"/>
      <c r="E27" s="708"/>
      <c r="F27" s="708"/>
      <c r="G27" s="708"/>
      <c r="H27" s="708"/>
      <c r="I27" s="708"/>
      <c r="J27" s="708"/>
      <c r="K27" s="708"/>
      <c r="L27" s="708"/>
      <c r="M27" s="708"/>
      <c r="N27" s="708"/>
      <c r="O27" s="708"/>
      <c r="P27" s="637"/>
      <c r="Q27" s="637"/>
      <c r="R27" s="637"/>
      <c r="S27" s="637"/>
      <c r="T27" s="637"/>
      <c r="U27" s="637"/>
      <c r="V27" s="711"/>
      <c r="W27" s="711"/>
      <c r="X27" s="725"/>
      <c r="Y27" s="724"/>
      <c r="Z27" s="637"/>
      <c r="AA27" s="637"/>
      <c r="AB27" s="637"/>
      <c r="AC27" s="637"/>
      <c r="AD27" s="637"/>
      <c r="AE27" s="637"/>
      <c r="AF27" s="637"/>
      <c r="AG27" s="637"/>
      <c r="AH27" s="637"/>
      <c r="AI27" s="637"/>
      <c r="AJ27" s="637"/>
      <c r="AK27" s="637"/>
      <c r="AL27" s="637"/>
      <c r="AM27" s="637"/>
      <c r="AN27" s="637"/>
      <c r="AO27" s="637"/>
      <c r="AP27" s="637"/>
      <c r="AQ27" s="637"/>
      <c r="AR27" s="637"/>
      <c r="AS27" s="637"/>
      <c r="AT27" s="637"/>
      <c r="AU27" s="637"/>
      <c r="AV27" s="637"/>
      <c r="AW27" s="637"/>
      <c r="AX27" s="637"/>
      <c r="AY27" s="637"/>
      <c r="AZ27" s="637"/>
      <c r="BA27" s="637"/>
      <c r="BB27" s="637"/>
      <c r="BC27" s="637"/>
      <c r="BD27" s="637"/>
      <c r="BE27" s="637"/>
      <c r="BF27" s="637"/>
      <c r="BG27" s="637"/>
      <c r="BH27" s="637"/>
      <c r="BI27" s="637"/>
    </row>
    <row r="28" spans="1:61">
      <c r="T28" s="533"/>
      <c r="U28" s="592"/>
      <c r="V28" s="144"/>
      <c r="W28" s="144"/>
      <c r="X28" s="50"/>
      <c r="Y28" s="51"/>
    </row>
    <row r="29" spans="1:61" s="592" customFormat="1">
      <c r="A29" s="1" t="s">
        <v>509</v>
      </c>
      <c r="V29" s="144"/>
      <c r="W29" s="144"/>
      <c r="X29" s="50"/>
      <c r="Y29" s="144"/>
    </row>
    <row r="30" spans="1:61" s="592" customFormat="1" ht="15" customHeight="1">
      <c r="A30" s="754" t="s">
        <v>540</v>
      </c>
      <c r="B30" s="754"/>
      <c r="C30" s="754"/>
      <c r="D30" s="754"/>
      <c r="E30" s="754"/>
      <c r="F30" s="754"/>
      <c r="G30" s="754"/>
      <c r="H30" s="754"/>
      <c r="I30" s="754"/>
      <c r="J30" s="754"/>
      <c r="K30" s="754"/>
      <c r="L30" s="754"/>
      <c r="M30" s="754"/>
      <c r="N30" s="754"/>
      <c r="O30" s="754"/>
      <c r="P30" s="754"/>
      <c r="Q30" s="754"/>
      <c r="R30" s="754"/>
      <c r="S30" s="754"/>
      <c r="T30" s="754"/>
      <c r="U30" s="754"/>
      <c r="V30" s="144"/>
      <c r="W30" s="144"/>
      <c r="X30" s="50"/>
      <c r="Y30" s="144"/>
    </row>
    <row r="31" spans="1:61" s="592" customFormat="1">
      <c r="A31" s="754"/>
      <c r="B31" s="754"/>
      <c r="C31" s="754"/>
      <c r="D31" s="754"/>
      <c r="E31" s="754"/>
      <c r="F31" s="754"/>
      <c r="G31" s="754"/>
      <c r="H31" s="754"/>
      <c r="I31" s="754"/>
      <c r="J31" s="754"/>
      <c r="K31" s="754"/>
      <c r="L31" s="754"/>
      <c r="M31" s="754"/>
      <c r="N31" s="754"/>
      <c r="O31" s="754"/>
      <c r="P31" s="754"/>
      <c r="Q31" s="754"/>
      <c r="R31" s="754"/>
      <c r="S31" s="754"/>
      <c r="T31" s="754"/>
      <c r="U31" s="754"/>
      <c r="V31" s="144"/>
      <c r="W31" s="144"/>
      <c r="X31" s="50"/>
      <c r="Y31" s="144"/>
    </row>
    <row r="32" spans="1:61" s="592" customFormat="1" ht="15" customHeight="1">
      <c r="A32" s="755" t="s">
        <v>847</v>
      </c>
      <c r="B32" s="755"/>
      <c r="C32" s="755"/>
      <c r="D32" s="755"/>
      <c r="E32" s="755"/>
      <c r="F32" s="755"/>
      <c r="G32" s="755"/>
      <c r="H32" s="755"/>
      <c r="I32" s="755"/>
      <c r="J32" s="755"/>
      <c r="K32" s="755"/>
      <c r="L32" s="755"/>
      <c r="M32" s="755"/>
      <c r="N32" s="755"/>
      <c r="O32" s="755"/>
      <c r="P32" s="755"/>
      <c r="Q32" s="755"/>
      <c r="R32" s="755"/>
      <c r="S32" s="755"/>
      <c r="T32" s="755"/>
      <c r="U32" s="755"/>
      <c r="V32" s="144"/>
      <c r="W32" s="144"/>
      <c r="X32" s="50"/>
      <c r="Y32" s="144"/>
    </row>
    <row r="33" spans="1:25" s="592" customFormat="1">
      <c r="A33" s="755"/>
      <c r="B33" s="755"/>
      <c r="C33" s="755"/>
      <c r="D33" s="755"/>
      <c r="E33" s="755"/>
      <c r="F33" s="755"/>
      <c r="G33" s="755"/>
      <c r="H33" s="755"/>
      <c r="I33" s="755"/>
      <c r="J33" s="755"/>
      <c r="K33" s="755"/>
      <c r="L33" s="755"/>
      <c r="M33" s="755"/>
      <c r="N33" s="755"/>
      <c r="O33" s="755"/>
      <c r="P33" s="755"/>
      <c r="Q33" s="755"/>
      <c r="R33" s="755"/>
      <c r="S33" s="755"/>
      <c r="T33" s="755"/>
      <c r="U33" s="755"/>
      <c r="V33" s="144"/>
      <c r="W33" s="144"/>
      <c r="X33" s="50"/>
      <c r="Y33" s="144"/>
    </row>
    <row r="34" spans="1:25" s="592" customFormat="1">
      <c r="A34" s="130" t="s">
        <v>541</v>
      </c>
      <c r="B34" s="685"/>
      <c r="C34" s="685"/>
      <c r="D34" s="685"/>
      <c r="E34" s="685"/>
      <c r="F34" s="685"/>
      <c r="G34" s="685"/>
      <c r="H34" s="685"/>
      <c r="I34" s="685"/>
      <c r="J34" s="685"/>
      <c r="K34" s="685"/>
      <c r="L34" s="685"/>
      <c r="M34" s="685"/>
      <c r="N34" s="685"/>
      <c r="O34" s="685"/>
      <c r="P34" s="685"/>
      <c r="Q34" s="685"/>
      <c r="R34" s="685"/>
      <c r="S34" s="685"/>
      <c r="T34" s="685"/>
      <c r="U34" s="685"/>
      <c r="V34" s="144"/>
      <c r="W34" s="144"/>
      <c r="X34" s="50"/>
      <c r="Y34" s="144"/>
    </row>
    <row r="35" spans="1:25" s="592" customFormat="1">
      <c r="A35" s="130" t="s">
        <v>542</v>
      </c>
      <c r="B35" s="685"/>
      <c r="C35" s="685"/>
      <c r="D35" s="685"/>
      <c r="E35" s="685"/>
      <c r="F35" s="685"/>
      <c r="G35" s="685"/>
      <c r="H35" s="685"/>
      <c r="I35" s="685"/>
      <c r="J35" s="685"/>
      <c r="K35" s="685"/>
      <c r="L35" s="685"/>
      <c r="M35" s="685"/>
      <c r="N35" s="685"/>
      <c r="O35" s="685"/>
      <c r="P35" s="685"/>
      <c r="Q35" s="685"/>
      <c r="R35" s="685"/>
      <c r="S35" s="685"/>
      <c r="T35" s="685"/>
      <c r="U35" s="685"/>
      <c r="V35" s="144"/>
      <c r="W35" s="144"/>
      <c r="X35" s="50"/>
      <c r="Y35" s="144"/>
    </row>
    <row r="36" spans="1:25" s="592" customFormat="1">
      <c r="A36" s="656" t="s">
        <v>543</v>
      </c>
      <c r="B36" s="685"/>
      <c r="C36" s="685"/>
      <c r="D36" s="685"/>
      <c r="E36" s="685"/>
      <c r="F36" s="685"/>
      <c r="G36" s="685"/>
      <c r="H36" s="685"/>
      <c r="I36" s="685"/>
      <c r="J36" s="685"/>
      <c r="K36" s="685"/>
      <c r="L36" s="685"/>
      <c r="M36" s="685"/>
      <c r="N36" s="685"/>
      <c r="O36" s="685"/>
      <c r="P36" s="685"/>
      <c r="Q36" s="685"/>
      <c r="R36" s="685"/>
      <c r="S36" s="685"/>
      <c r="T36" s="685"/>
      <c r="U36" s="685"/>
      <c r="V36" s="144"/>
      <c r="W36" s="144"/>
      <c r="X36" s="50"/>
      <c r="Y36" s="144"/>
    </row>
    <row r="37" spans="1:25" s="592" customFormat="1" ht="15" customHeight="1">
      <c r="A37" s="755" t="s">
        <v>544</v>
      </c>
      <c r="B37" s="755"/>
      <c r="C37" s="755"/>
      <c r="D37" s="755"/>
      <c r="E37" s="755"/>
      <c r="F37" s="755"/>
      <c r="G37" s="755"/>
      <c r="H37" s="755"/>
      <c r="I37" s="755"/>
      <c r="J37" s="755"/>
      <c r="K37" s="755"/>
      <c r="L37" s="755"/>
      <c r="M37" s="755"/>
      <c r="N37" s="755"/>
      <c r="O37" s="755"/>
      <c r="P37" s="755"/>
      <c r="Q37" s="755"/>
      <c r="R37" s="755"/>
      <c r="S37" s="755"/>
      <c r="T37" s="755"/>
      <c r="U37" s="755"/>
      <c r="V37" s="144"/>
      <c r="W37" s="144"/>
      <c r="X37" s="50"/>
      <c r="Y37" s="144"/>
    </row>
    <row r="38" spans="1:25" s="592" customFormat="1">
      <c r="A38" s="755"/>
      <c r="B38" s="755"/>
      <c r="C38" s="755"/>
      <c r="D38" s="755"/>
      <c r="E38" s="755"/>
      <c r="F38" s="755"/>
      <c r="G38" s="755"/>
      <c r="H38" s="755"/>
      <c r="I38" s="755"/>
      <c r="J38" s="755"/>
      <c r="K38" s="755"/>
      <c r="L38" s="755"/>
      <c r="M38" s="755"/>
      <c r="N38" s="755"/>
      <c r="O38" s="755"/>
      <c r="P38" s="755"/>
      <c r="Q38" s="755"/>
      <c r="R38" s="755"/>
      <c r="S38" s="755"/>
      <c r="T38" s="755"/>
      <c r="U38" s="755"/>
      <c r="V38" s="144"/>
      <c r="W38" s="144"/>
      <c r="X38" s="50"/>
      <c r="Y38" s="144"/>
    </row>
    <row r="39" spans="1:25" s="592" customFormat="1">
      <c r="A39" s="755"/>
      <c r="B39" s="755"/>
      <c r="C39" s="755"/>
      <c r="D39" s="755"/>
      <c r="E39" s="755"/>
      <c r="F39" s="755"/>
      <c r="G39" s="755"/>
      <c r="H39" s="755"/>
      <c r="I39" s="755"/>
      <c r="J39" s="755"/>
      <c r="K39" s="755"/>
      <c r="L39" s="755"/>
      <c r="M39" s="755"/>
      <c r="N39" s="755"/>
      <c r="O39" s="755"/>
      <c r="P39" s="755"/>
      <c r="Q39" s="755"/>
      <c r="R39" s="755"/>
      <c r="S39" s="755"/>
      <c r="T39" s="755"/>
      <c r="U39" s="755"/>
      <c r="V39" s="144"/>
      <c r="W39" s="144"/>
      <c r="X39" s="50"/>
      <c r="Y39" s="144"/>
    </row>
    <row r="40" spans="1:25" s="592" customFormat="1">
      <c r="V40" s="144"/>
      <c r="W40" s="144"/>
      <c r="X40" s="50"/>
      <c r="Y40" s="144"/>
    </row>
    <row r="41" spans="1:25">
      <c r="A41" s="36" t="s">
        <v>22</v>
      </c>
      <c r="B41" s="90">
        <v>3.6720999999999999</v>
      </c>
      <c r="C41" s="90">
        <v>3.8574000000000002</v>
      </c>
      <c r="D41" s="90">
        <v>4.3996000000000004</v>
      </c>
      <c r="E41" s="90">
        <v>4.5267999999999997</v>
      </c>
      <c r="F41" s="90">
        <v>4.0229999999999997</v>
      </c>
      <c r="G41" s="90">
        <v>3.8959000000000001</v>
      </c>
      <c r="H41" s="90">
        <v>3.7837000000000001</v>
      </c>
      <c r="I41" s="90">
        <v>3.5121000000000002</v>
      </c>
      <c r="J41" s="90">
        <v>4.3276000000000003</v>
      </c>
      <c r="K41" s="90">
        <v>3.9946999999999999</v>
      </c>
      <c r="L41" s="90">
        <v>4.1205999999999996</v>
      </c>
      <c r="M41" s="90">
        <v>4.1847000000000003</v>
      </c>
      <c r="N41" s="90">
        <v>4.1974999999999998</v>
      </c>
      <c r="O41" s="90">
        <v>4.1843000000000004</v>
      </c>
      <c r="P41" s="90">
        <v>4.1840999999999999</v>
      </c>
      <c r="Q41" s="11">
        <v>4.3632</v>
      </c>
      <c r="R41" s="90">
        <v>4.2569999999999997</v>
      </c>
      <c r="S41" s="90">
        <v>4.2614999999999998</v>
      </c>
      <c r="T41" s="90">
        <v>4.2976000000000001</v>
      </c>
      <c r="U41" s="692"/>
      <c r="V41" s="736"/>
      <c r="W41" s="736"/>
      <c r="X41" s="50"/>
      <c r="Y41" s="51"/>
    </row>
    <row r="42" spans="1:25">
      <c r="A42" s="35" t="s">
        <v>4</v>
      </c>
      <c r="B42" s="35"/>
      <c r="C42" s="35"/>
      <c r="D42" s="35"/>
      <c r="E42" s="35"/>
      <c r="F42" s="35"/>
      <c r="G42" s="35"/>
      <c r="H42" s="35"/>
      <c r="I42" s="35"/>
      <c r="J42" s="35"/>
      <c r="K42" s="35"/>
      <c r="L42" s="35"/>
      <c r="M42" s="35"/>
      <c r="N42" s="35"/>
      <c r="O42" s="35"/>
      <c r="T42" s="533"/>
      <c r="U42" s="592"/>
      <c r="V42" s="736"/>
      <c r="W42" s="736"/>
      <c r="X42" s="50"/>
      <c r="Y42" s="51"/>
    </row>
    <row r="43" spans="1:25">
      <c r="B43" s="637"/>
      <c r="T43" s="533"/>
      <c r="U43" s="592"/>
      <c r="V43" s="736"/>
      <c r="W43" s="736"/>
      <c r="X43" s="50"/>
      <c r="Y43" s="51"/>
    </row>
    <row r="44" spans="1:25" s="468" customFormat="1">
      <c r="A44" s="36" t="s">
        <v>545</v>
      </c>
      <c r="B44" s="469">
        <v>46.8</v>
      </c>
      <c r="C44" s="469">
        <v>47.6</v>
      </c>
      <c r="D44" s="469">
        <v>48.3</v>
      </c>
      <c r="E44" s="469">
        <v>50.1</v>
      </c>
      <c r="F44" s="469">
        <v>50.4</v>
      </c>
      <c r="G44" s="469">
        <v>50.7</v>
      </c>
      <c r="H44" s="469">
        <v>53.1</v>
      </c>
      <c r="I44" s="469">
        <v>55.4</v>
      </c>
      <c r="J44" s="469">
        <v>59.1</v>
      </c>
      <c r="K44" s="653">
        <v>62.4</v>
      </c>
      <c r="L44" s="469">
        <v>64.900000000000006</v>
      </c>
      <c r="M44" s="469">
        <v>66.400000000000006</v>
      </c>
      <c r="N44" s="469">
        <v>66.400000000000006</v>
      </c>
      <c r="O44" s="469">
        <v>66.900000000000006</v>
      </c>
      <c r="P44" s="469">
        <v>68.400000000000006</v>
      </c>
      <c r="Q44" s="470">
        <v>68.2</v>
      </c>
      <c r="R44" s="469">
        <v>68.900000000000006</v>
      </c>
      <c r="S44" s="469">
        <v>70.3</v>
      </c>
      <c r="T44" s="469">
        <v>72.2</v>
      </c>
      <c r="U44"/>
      <c r="V44" s="144"/>
      <c r="W44" s="144"/>
      <c r="X44" s="50"/>
      <c r="Y44" s="51"/>
    </row>
    <row r="45" spans="1:25" s="468" customFormat="1">
      <c r="A45" s="37" t="s">
        <v>489</v>
      </c>
      <c r="T45" s="533"/>
      <c r="U45" s="592"/>
      <c r="V45" s="144"/>
      <c r="W45" s="144"/>
      <c r="X45" s="144"/>
      <c r="Y45" s="51"/>
    </row>
    <row r="46" spans="1:25" s="468" customFormat="1">
      <c r="A46" s="754" t="s">
        <v>546</v>
      </c>
      <c r="B46" s="754"/>
      <c r="C46" s="754"/>
      <c r="D46" s="754"/>
      <c r="E46" s="754"/>
      <c r="F46" s="754"/>
      <c r="G46" s="754"/>
      <c r="H46" s="754"/>
      <c r="I46" s="754"/>
      <c r="J46" s="754"/>
      <c r="K46" s="754"/>
      <c r="L46" s="754"/>
      <c r="M46" s="754"/>
      <c r="N46" s="754"/>
      <c r="O46" s="754"/>
      <c r="P46" s="754"/>
      <c r="Q46" s="754"/>
      <c r="R46" s="754"/>
      <c r="S46" s="754"/>
      <c r="T46" s="754"/>
      <c r="U46" s="754"/>
      <c r="V46" s="144"/>
      <c r="W46" s="144"/>
      <c r="X46" s="144"/>
      <c r="Y46" s="51"/>
    </row>
    <row r="47" spans="1:25" s="592" customFormat="1">
      <c r="A47" s="754"/>
      <c r="B47" s="754"/>
      <c r="C47" s="754"/>
      <c r="D47" s="754"/>
      <c r="E47" s="754"/>
      <c r="F47" s="754"/>
      <c r="G47" s="754"/>
      <c r="H47" s="754"/>
      <c r="I47" s="754"/>
      <c r="J47" s="754"/>
      <c r="K47" s="754"/>
      <c r="L47" s="754"/>
      <c r="M47" s="754"/>
      <c r="N47" s="754"/>
      <c r="O47" s="754"/>
      <c r="P47" s="754"/>
      <c r="Q47" s="754"/>
      <c r="R47" s="754"/>
      <c r="S47" s="754"/>
      <c r="T47" s="754"/>
      <c r="U47" s="754"/>
      <c r="V47" s="144"/>
      <c r="W47" s="144"/>
      <c r="X47" s="144"/>
      <c r="Y47" s="51"/>
    </row>
    <row r="48" spans="1:25" s="592" customFormat="1">
      <c r="V48" s="144"/>
      <c r="W48" s="144"/>
      <c r="X48" s="144"/>
      <c r="Y48" s="51"/>
    </row>
    <row r="49" spans="1:61" s="529" customFormat="1">
      <c r="A49" s="41" t="s">
        <v>368</v>
      </c>
      <c r="B49" s="92"/>
      <c r="C49" s="92"/>
      <c r="D49" s="92"/>
      <c r="E49" s="92"/>
      <c r="F49" s="92"/>
      <c r="G49" s="739">
        <v>103.2</v>
      </c>
      <c r="H49" s="739">
        <v>107.4</v>
      </c>
      <c r="I49" s="739">
        <v>104.8</v>
      </c>
      <c r="J49" s="739">
        <v>100.2</v>
      </c>
      <c r="K49" s="739">
        <v>99.9</v>
      </c>
      <c r="L49" s="739">
        <v>101</v>
      </c>
      <c r="M49" s="739">
        <v>100.2</v>
      </c>
      <c r="N49" s="739">
        <v>98.2</v>
      </c>
      <c r="O49" s="739">
        <v>98.8</v>
      </c>
      <c r="P49" s="470">
        <v>99.5</v>
      </c>
      <c r="Q49" s="470">
        <v>99.6</v>
      </c>
      <c r="R49" s="470">
        <v>100.6</v>
      </c>
      <c r="S49" s="470">
        <v>102.7</v>
      </c>
      <c r="T49" s="470">
        <v>103.5</v>
      </c>
      <c r="U49" s="470">
        <v>102.6</v>
      </c>
      <c r="V49" s="470">
        <v>104.2</v>
      </c>
      <c r="W49" s="470">
        <v>112.7</v>
      </c>
      <c r="X49" s="752">
        <v>110.2</v>
      </c>
      <c r="Y49" s="741"/>
      <c r="Z49" s="740"/>
      <c r="AA49" s="740"/>
      <c r="AB49" s="740"/>
      <c r="AC49" s="740"/>
      <c r="AD49" s="740"/>
      <c r="AE49" s="740"/>
      <c r="AF49" s="740"/>
      <c r="AG49" s="740"/>
      <c r="AH49" s="740"/>
      <c r="AI49" s="740"/>
      <c r="AJ49" s="740"/>
      <c r="AK49" s="740"/>
      <c r="AL49" s="740"/>
      <c r="AM49" s="740"/>
      <c r="AN49" s="740"/>
      <c r="AO49" s="740"/>
      <c r="AP49" s="740"/>
      <c r="AQ49" s="740"/>
      <c r="AR49" s="740"/>
      <c r="AS49" s="740"/>
      <c r="AT49" s="740"/>
      <c r="AU49" s="740"/>
      <c r="AV49" s="740"/>
      <c r="AW49" s="740"/>
      <c r="AX49" s="740"/>
      <c r="AY49" s="740"/>
      <c r="AZ49" s="740"/>
      <c r="BA49" s="740"/>
      <c r="BB49" s="740"/>
      <c r="BC49" s="740"/>
      <c r="BD49" s="740"/>
      <c r="BE49" s="740"/>
      <c r="BF49" s="740"/>
      <c r="BG49" s="740"/>
      <c r="BH49" s="740"/>
      <c r="BI49" s="740"/>
    </row>
    <row r="50" spans="1:61" s="529" customFormat="1">
      <c r="A50" s="37" t="s">
        <v>932</v>
      </c>
      <c r="B50" s="37"/>
      <c r="C50" s="37"/>
      <c r="D50" s="37"/>
      <c r="E50" s="37"/>
      <c r="F50" s="37"/>
      <c r="G50" s="37"/>
      <c r="H50" s="37"/>
      <c r="I50" s="37"/>
      <c r="J50" s="37"/>
      <c r="K50" s="37"/>
      <c r="L50" s="37"/>
      <c r="M50" s="37"/>
      <c r="N50" s="37"/>
      <c r="O50" s="37"/>
      <c r="P50" s="38"/>
      <c r="Q50" s="38"/>
      <c r="T50" s="533"/>
      <c r="U50" s="592"/>
      <c r="V50" s="691"/>
      <c r="W50" s="736"/>
      <c r="X50" s="50"/>
      <c r="Y50" s="49"/>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row>
    <row r="51" spans="1:61" s="529" customFormat="1">
      <c r="T51" s="533"/>
      <c r="U51" s="592"/>
      <c r="V51" s="691"/>
      <c r="W51" s="736"/>
      <c r="X51" s="50"/>
      <c r="Y51" s="51"/>
    </row>
    <row r="52" spans="1:61" s="529" customFormat="1">
      <c r="T52" s="533"/>
      <c r="U52" s="592"/>
      <c r="V52" s="691"/>
      <c r="W52" s="736"/>
      <c r="X52" s="50"/>
      <c r="Y52" s="51"/>
    </row>
    <row r="53" spans="1:61" ht="15.75">
      <c r="A53" s="57" t="s">
        <v>18</v>
      </c>
      <c r="B53" s="57"/>
      <c r="C53" s="57"/>
      <c r="D53" s="57"/>
      <c r="E53" s="57"/>
      <c r="F53" s="57"/>
      <c r="G53" s="57"/>
      <c r="H53" s="57"/>
      <c r="I53" s="57"/>
      <c r="J53" s="57"/>
      <c r="K53" s="57"/>
      <c r="L53" s="57"/>
      <c r="M53" s="57"/>
      <c r="N53" s="57"/>
      <c r="O53" s="57"/>
      <c r="T53" s="533"/>
      <c r="U53" s="592"/>
      <c r="V53" s="691"/>
      <c r="W53" s="736"/>
      <c r="X53" s="50"/>
      <c r="Y53" s="51"/>
    </row>
    <row r="54" spans="1:61">
      <c r="A54" s="58" t="s">
        <v>547</v>
      </c>
      <c r="B54" s="39"/>
      <c r="C54" s="39"/>
      <c r="D54" s="39"/>
      <c r="E54" s="39"/>
      <c r="F54" s="39"/>
      <c r="G54" s="39"/>
      <c r="H54" s="39"/>
      <c r="I54" s="39"/>
      <c r="J54" s="39"/>
      <c r="K54" s="39"/>
      <c r="L54" s="39"/>
      <c r="M54" s="39"/>
      <c r="N54" s="39"/>
      <c r="O54" s="39"/>
      <c r="P54" s="46"/>
      <c r="Q54" s="65"/>
      <c r="T54" s="533"/>
      <c r="U54" s="592"/>
      <c r="V54" s="691"/>
      <c r="W54" s="736"/>
      <c r="X54" s="50"/>
      <c r="Y54" s="51"/>
    </row>
    <row r="55" spans="1:61">
      <c r="A55" s="59" t="s">
        <v>548</v>
      </c>
      <c r="B55" s="95"/>
      <c r="C55" s="95"/>
      <c r="D55" s="95"/>
      <c r="E55" s="95"/>
      <c r="F55" s="95"/>
      <c r="G55" s="95"/>
      <c r="H55" s="95"/>
      <c r="I55" s="95"/>
      <c r="J55" s="95"/>
      <c r="K55" s="95"/>
      <c r="L55" s="95"/>
      <c r="M55" s="95"/>
      <c r="N55" s="95"/>
      <c r="O55" s="95"/>
      <c r="P55" s="63">
        <v>0.5</v>
      </c>
      <c r="Q55" s="69"/>
      <c r="T55" s="533"/>
      <c r="U55" s="592"/>
      <c r="V55" s="691"/>
      <c r="W55" s="736"/>
      <c r="X55" s="50"/>
      <c r="Y55" s="71"/>
    </row>
    <row r="56" spans="1:61">
      <c r="A56" s="36" t="s">
        <v>549</v>
      </c>
      <c r="B56" s="86"/>
      <c r="C56" s="86"/>
      <c r="D56" s="66">
        <f t="shared" ref="D56:X56" si="7">($P$55*(D16/100-1)+1)*D6/100</f>
        <v>1.0256528868360277</v>
      </c>
      <c r="E56" s="66">
        <f t="shared" si="7"/>
        <v>1.0608863873913521</v>
      </c>
      <c r="F56" s="66">
        <f t="shared" si="7"/>
        <v>1.038875319966664</v>
      </c>
      <c r="G56" s="66">
        <f t="shared" si="7"/>
        <v>1.0408305324651481</v>
      </c>
      <c r="H56" s="66">
        <f t="shared" si="7"/>
        <v>1.0613969511499228</v>
      </c>
      <c r="I56" s="66">
        <f t="shared" si="7"/>
        <v>1.0638703520619681</v>
      </c>
      <c r="J56" s="66">
        <f t="shared" si="7"/>
        <v>1.0494780791672451</v>
      </c>
      <c r="K56" s="66">
        <f t="shared" si="7"/>
        <v>1.0432778555511433</v>
      </c>
      <c r="L56" s="66">
        <f t="shared" si="7"/>
        <v>1.0690692489179623</v>
      </c>
      <c r="M56" s="66">
        <f t="shared" si="7"/>
        <v>1.0447785293758904</v>
      </c>
      <c r="N56" s="66">
        <f t="shared" si="7"/>
        <v>1.0135449348537628</v>
      </c>
      <c r="O56" s="66">
        <f t="shared" si="7"/>
        <v>1.0190084436543949</v>
      </c>
      <c r="P56" s="66">
        <f t="shared" si="7"/>
        <v>1.0128254825325465</v>
      </c>
      <c r="Q56" s="66">
        <f t="shared" si="7"/>
        <v>1.0089116293810008</v>
      </c>
      <c r="R56" s="66">
        <f t="shared" si="7"/>
        <v>1.0460095939490446</v>
      </c>
      <c r="S56" s="66">
        <f t="shared" si="7"/>
        <v>1.0459895566437825</v>
      </c>
      <c r="T56" s="66">
        <f t="shared" si="7"/>
        <v>1.0460345910451609</v>
      </c>
      <c r="U56" s="66">
        <f t="shared" si="7"/>
        <v>1.0235801871426096</v>
      </c>
      <c r="V56" s="66">
        <f t="shared" si="7"/>
        <v>1.0874325345958737</v>
      </c>
      <c r="W56" s="66">
        <f t="shared" si="7"/>
        <v>1.1761519303294208</v>
      </c>
      <c r="X56" s="72">
        <f t="shared" si="7"/>
        <v>1.1151178419406693</v>
      </c>
      <c r="Y56" s="73">
        <f t="shared" ref="Y56" si="8">$P$55*(Y26-1)+1</f>
        <v>1.0171307345131535</v>
      </c>
      <c r="Z56" s="66">
        <f t="shared" ref="Z56:BI56" si="9">$P$55*(Z26-1)+1</f>
        <v>1.020161084773735</v>
      </c>
      <c r="AA56" s="66">
        <f t="shared" si="9"/>
        <v>1.0187108414662056</v>
      </c>
      <c r="AB56" s="66">
        <f t="shared" si="9"/>
        <v>1.0154703248612105</v>
      </c>
      <c r="AC56" s="66">
        <f t="shared" si="9"/>
        <v>1.015524603633861</v>
      </c>
      <c r="AD56" s="66">
        <f t="shared" si="9"/>
        <v>1.0151167386751685</v>
      </c>
      <c r="AE56" s="66">
        <f t="shared" si="9"/>
        <v>1.0146986667395781</v>
      </c>
      <c r="AF56" s="66">
        <f t="shared" si="9"/>
        <v>1.0134769865816158</v>
      </c>
      <c r="AG56" s="66">
        <f t="shared" si="9"/>
        <v>1.012678908451464</v>
      </c>
      <c r="AH56" s="66">
        <f t="shared" si="9"/>
        <v>1.0128561067847557</v>
      </c>
      <c r="AI56" s="66">
        <f t="shared" si="9"/>
        <v>1.012960685258006</v>
      </c>
      <c r="AJ56" s="66">
        <f t="shared" si="9"/>
        <v>1.0120569136121678</v>
      </c>
      <c r="AK56" s="66">
        <f t="shared" si="9"/>
        <v>1.0116425111003025</v>
      </c>
      <c r="AL56" s="66">
        <f t="shared" si="9"/>
        <v>1.0111866735309385</v>
      </c>
      <c r="AM56" s="66">
        <f t="shared" si="9"/>
        <v>1.0107555114552316</v>
      </c>
      <c r="AN56" s="66">
        <f t="shared" si="9"/>
        <v>1.0098090497934082</v>
      </c>
      <c r="AO56" s="66">
        <f t="shared" si="9"/>
        <v>1.0088521611956733</v>
      </c>
      <c r="AP56" s="66">
        <f t="shared" si="9"/>
        <v>1.0083934954367864</v>
      </c>
      <c r="AQ56" s="66">
        <f t="shared" si="9"/>
        <v>1.0074270181053686</v>
      </c>
      <c r="AR56" s="66">
        <f t="shared" si="9"/>
        <v>1.0069294932890593</v>
      </c>
      <c r="AS56" s="66">
        <f t="shared" si="9"/>
        <v>1.0069658084028008</v>
      </c>
      <c r="AT56" s="66">
        <f t="shared" si="9"/>
        <v>1.0070391769730702</v>
      </c>
      <c r="AU56" s="66">
        <f t="shared" si="9"/>
        <v>1.0070725861231813</v>
      </c>
      <c r="AV56" s="66">
        <f t="shared" si="9"/>
        <v>1.0071051782767881</v>
      </c>
      <c r="AW56" s="66">
        <f t="shared" si="9"/>
        <v>1.0071442034483074</v>
      </c>
      <c r="AX56" s="66">
        <f t="shared" si="9"/>
        <v>1.0066514917284697</v>
      </c>
      <c r="AY56" s="66">
        <f t="shared" si="9"/>
        <v>1.0066975911983682</v>
      </c>
      <c r="AZ56" s="66">
        <f t="shared" si="9"/>
        <v>1.0067481667092999</v>
      </c>
      <c r="BA56" s="66">
        <f t="shared" si="9"/>
        <v>1.0068450503740516</v>
      </c>
      <c r="BB56" s="66">
        <f t="shared" si="9"/>
        <v>1.0074066493787579</v>
      </c>
      <c r="BC56" s="66">
        <f t="shared" si="9"/>
        <v>1.007470675996009</v>
      </c>
      <c r="BD56" s="66">
        <f t="shared" si="9"/>
        <v>1.0075417112330949</v>
      </c>
      <c r="BE56" s="66">
        <f t="shared" si="9"/>
        <v>1.0076119546167328</v>
      </c>
      <c r="BF56" s="66">
        <f t="shared" si="9"/>
        <v>1.0081863293400342</v>
      </c>
      <c r="BG56" s="66">
        <f t="shared" si="9"/>
        <v>1.0083011411468634</v>
      </c>
      <c r="BH56" s="66">
        <f t="shared" si="9"/>
        <v>1.0083746732630918</v>
      </c>
      <c r="BI56" s="66">
        <f t="shared" si="9"/>
        <v>1.0089151470467548</v>
      </c>
    </row>
    <row r="57" spans="1:61">
      <c r="A57" s="58" t="s">
        <v>23</v>
      </c>
      <c r="B57" s="39"/>
      <c r="C57" s="39"/>
      <c r="D57" s="39"/>
      <c r="E57" s="39"/>
      <c r="F57" s="39"/>
      <c r="G57" s="39"/>
      <c r="H57" s="39"/>
      <c r="I57" s="96"/>
      <c r="J57" s="96"/>
      <c r="K57" s="96"/>
      <c r="L57" s="96"/>
      <c r="M57" s="96"/>
      <c r="N57" s="96"/>
      <c r="O57" s="96"/>
      <c r="P57" s="96"/>
      <c r="Q57" s="96"/>
      <c r="R57" s="96"/>
      <c r="S57" s="96"/>
      <c r="T57" s="96"/>
      <c r="U57" s="96"/>
      <c r="V57" s="96"/>
      <c r="W57" s="96"/>
      <c r="X57" s="97"/>
      <c r="Y57" s="98"/>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row>
    <row r="58" spans="1:61">
      <c r="A58" s="36" t="s">
        <v>24</v>
      </c>
      <c r="B58" s="86"/>
      <c r="C58" s="86"/>
      <c r="D58" s="66">
        <f>D$6/100</f>
        <v>1.008</v>
      </c>
      <c r="E58" s="66">
        <f t="shared" ref="E58:X58" si="10">E$6/100</f>
        <v>1.0349999999999999</v>
      </c>
      <c r="F58" s="66">
        <f t="shared" si="10"/>
        <v>1.0209999999999999</v>
      </c>
      <c r="G58" s="66">
        <f t="shared" si="10"/>
        <v>1.01</v>
      </c>
      <c r="H58" s="66">
        <f t="shared" si="10"/>
        <v>1.0249999999999999</v>
      </c>
      <c r="I58" s="66">
        <f t="shared" si="10"/>
        <v>1.042</v>
      </c>
      <c r="J58" s="66">
        <f t="shared" si="10"/>
        <v>1.0349999999999999</v>
      </c>
      <c r="K58" s="66">
        <f t="shared" si="10"/>
        <v>1.026</v>
      </c>
      <c r="L58" s="66">
        <f t="shared" si="10"/>
        <v>1.0429999999999999</v>
      </c>
      <c r="M58" s="66">
        <f t="shared" si="10"/>
        <v>1.0369999999999999</v>
      </c>
      <c r="N58" s="66">
        <f t="shared" si="10"/>
        <v>1.0090000000000001</v>
      </c>
      <c r="O58" s="66">
        <f t="shared" si="10"/>
        <v>1</v>
      </c>
      <c r="P58" s="66">
        <f t="shared" si="10"/>
        <v>0.99099999999999999</v>
      </c>
      <c r="Q58" s="66">
        <f t="shared" si="10"/>
        <v>0.99400000000000011</v>
      </c>
      <c r="R58" s="66">
        <f t="shared" si="10"/>
        <v>1.02</v>
      </c>
      <c r="S58" s="66">
        <f t="shared" si="10"/>
        <v>1.016</v>
      </c>
      <c r="T58" s="66">
        <f t="shared" si="10"/>
        <v>1.0229999999999999</v>
      </c>
      <c r="U58" s="66">
        <f t="shared" si="10"/>
        <v>1.034</v>
      </c>
      <c r="V58" s="66">
        <f t="shared" si="10"/>
        <v>1.0509999999999999</v>
      </c>
      <c r="W58" s="66">
        <f t="shared" si="10"/>
        <v>1.1440000000000001</v>
      </c>
      <c r="X58" s="72">
        <f t="shared" si="10"/>
        <v>1.1140000000000001</v>
      </c>
      <c r="Y58" s="74">
        <v>1</v>
      </c>
      <c r="Z58" s="70">
        <v>1</v>
      </c>
      <c r="AA58" s="70">
        <v>1</v>
      </c>
      <c r="AB58" s="70">
        <v>1</v>
      </c>
      <c r="AC58" s="70">
        <v>1</v>
      </c>
      <c r="AD58" s="70">
        <v>1</v>
      </c>
      <c r="AE58" s="70">
        <v>1</v>
      </c>
      <c r="AF58" s="70">
        <v>1</v>
      </c>
      <c r="AG58" s="70">
        <v>1</v>
      </c>
      <c r="AH58" s="70">
        <v>1</v>
      </c>
      <c r="AI58" s="70">
        <v>1</v>
      </c>
      <c r="AJ58" s="70">
        <v>1</v>
      </c>
      <c r="AK58" s="70">
        <v>1</v>
      </c>
      <c r="AL58" s="70">
        <v>1</v>
      </c>
      <c r="AM58" s="70">
        <v>1</v>
      </c>
      <c r="AN58" s="70">
        <v>1</v>
      </c>
      <c r="AO58" s="70">
        <v>1</v>
      </c>
      <c r="AP58" s="70">
        <v>1</v>
      </c>
      <c r="AQ58" s="70">
        <v>1</v>
      </c>
      <c r="AR58" s="70">
        <v>1</v>
      </c>
      <c r="AS58" s="70">
        <v>1</v>
      </c>
      <c r="AT58" s="70">
        <v>1</v>
      </c>
      <c r="AU58" s="70">
        <v>1</v>
      </c>
      <c r="AV58" s="70">
        <v>1</v>
      </c>
      <c r="AW58" s="70">
        <v>1</v>
      </c>
      <c r="AX58" s="70">
        <v>1</v>
      </c>
      <c r="AY58" s="70">
        <v>1</v>
      </c>
      <c r="AZ58" s="70">
        <v>1</v>
      </c>
      <c r="BA58" s="70">
        <v>1</v>
      </c>
      <c r="BB58" s="70">
        <v>1</v>
      </c>
      <c r="BC58" s="70">
        <v>1</v>
      </c>
      <c r="BD58" s="70">
        <v>1</v>
      </c>
      <c r="BE58" s="70">
        <v>1</v>
      </c>
      <c r="BF58" s="70">
        <v>1</v>
      </c>
      <c r="BG58" s="70">
        <v>1</v>
      </c>
      <c r="BH58" s="70">
        <v>1</v>
      </c>
      <c r="BI58" s="70">
        <v>1</v>
      </c>
    </row>
    <row r="59" spans="1:61" ht="15" customHeight="1">
      <c r="A59" s="60" t="s">
        <v>550</v>
      </c>
      <c r="B59" s="39"/>
      <c r="C59" s="39"/>
      <c r="D59" s="39"/>
      <c r="E59" s="39"/>
      <c r="F59" s="39"/>
      <c r="G59" s="39"/>
      <c r="H59" s="39"/>
      <c r="I59" s="39"/>
      <c r="J59" s="39"/>
      <c r="K59" s="39"/>
      <c r="L59" s="39"/>
      <c r="M59" s="39"/>
      <c r="N59" s="39"/>
      <c r="O59" s="39"/>
      <c r="P59" s="46"/>
      <c r="Q59" s="65"/>
      <c r="T59" s="533"/>
      <c r="U59" s="592"/>
      <c r="V59" s="736"/>
      <c r="W59" s="736"/>
      <c r="X59" s="50"/>
      <c r="Y59" s="51"/>
    </row>
    <row r="60" spans="1:61" ht="15" customHeight="1">
      <c r="A60" s="59" t="s">
        <v>551</v>
      </c>
      <c r="B60" s="95"/>
      <c r="C60" s="95"/>
      <c r="D60" s="95"/>
      <c r="E60" s="95"/>
      <c r="F60" s="95"/>
      <c r="G60" s="95"/>
      <c r="H60" s="95"/>
      <c r="I60" s="95"/>
      <c r="J60" s="95"/>
      <c r="K60" s="95"/>
      <c r="L60" s="95"/>
      <c r="M60" s="95"/>
      <c r="N60" s="95"/>
      <c r="O60" s="95"/>
      <c r="P60" s="64">
        <v>0.8</v>
      </c>
      <c r="Q60" s="69"/>
      <c r="T60" s="533"/>
      <c r="U60" s="592"/>
      <c r="V60" s="736"/>
      <c r="W60" s="736"/>
      <c r="X60" s="50"/>
      <c r="Y60" s="51"/>
    </row>
    <row r="61" spans="1:61">
      <c r="A61" s="36" t="s">
        <v>552</v>
      </c>
      <c r="B61" s="86"/>
      <c r="C61" s="86"/>
      <c r="D61" s="66">
        <f t="shared" ref="D61:X61" si="11">($P$60*(D16/100-1)+1)*D6/100</f>
        <v>1.0362446189376444</v>
      </c>
      <c r="E61" s="66">
        <f t="shared" si="11"/>
        <v>1.0764182198261636</v>
      </c>
      <c r="F61" s="66">
        <f t="shared" si="11"/>
        <v>1.0496005119466623</v>
      </c>
      <c r="G61" s="66">
        <f t="shared" si="11"/>
        <v>1.0593288519442365</v>
      </c>
      <c r="H61" s="66">
        <f t="shared" si="11"/>
        <v>1.0832351218398764</v>
      </c>
      <c r="I61" s="66">
        <f t="shared" si="11"/>
        <v>1.0769925632991486</v>
      </c>
      <c r="J61" s="66">
        <f t="shared" si="11"/>
        <v>1.0581649266675923</v>
      </c>
      <c r="K61" s="66">
        <f t="shared" si="11"/>
        <v>1.0536445688818297</v>
      </c>
      <c r="L61" s="66">
        <f t="shared" si="11"/>
        <v>1.0847107982687398</v>
      </c>
      <c r="M61" s="66">
        <f t="shared" si="11"/>
        <v>1.0494456470014246</v>
      </c>
      <c r="N61" s="66">
        <f t="shared" si="11"/>
        <v>1.0162718957660206</v>
      </c>
      <c r="O61" s="66">
        <f t="shared" si="11"/>
        <v>1.0304135098470319</v>
      </c>
      <c r="P61" s="66">
        <f t="shared" si="11"/>
        <v>1.0259207720520744</v>
      </c>
      <c r="Q61" s="66">
        <f t="shared" si="11"/>
        <v>1.0178586070096012</v>
      </c>
      <c r="R61" s="66">
        <f t="shared" si="11"/>
        <v>1.0616153503184713</v>
      </c>
      <c r="S61" s="66">
        <f t="shared" si="11"/>
        <v>1.0639832906300521</v>
      </c>
      <c r="T61" s="66">
        <f t="shared" si="11"/>
        <v>1.0598553456722577</v>
      </c>
      <c r="U61" s="66">
        <f t="shared" si="11"/>
        <v>1.0173282994281754</v>
      </c>
      <c r="V61" s="66">
        <f t="shared" si="11"/>
        <v>1.1092920553533978</v>
      </c>
      <c r="W61" s="66">
        <f t="shared" si="11"/>
        <v>1.1954430885270733</v>
      </c>
      <c r="X61" s="72">
        <f t="shared" si="11"/>
        <v>1.115788547105071</v>
      </c>
      <c r="Y61" s="73">
        <f t="shared" ref="Y61" si="12">$P$60*(Y26-1)+1</f>
        <v>1.0274091752210457</v>
      </c>
      <c r="Z61" s="66">
        <f t="shared" ref="Z61:BI61" si="13">$P$60*(Z26-1)+1</f>
        <v>1.0322577356379761</v>
      </c>
      <c r="AA61" s="66">
        <f t="shared" si="13"/>
        <v>1.0299373463459289</v>
      </c>
      <c r="AB61" s="66">
        <f t="shared" si="13"/>
        <v>1.0247525197779366</v>
      </c>
      <c r="AC61" s="66">
        <f t="shared" si="13"/>
        <v>1.0248393658141777</v>
      </c>
      <c r="AD61" s="66">
        <f t="shared" si="13"/>
        <v>1.0241867818802697</v>
      </c>
      <c r="AE61" s="66">
        <f t="shared" si="13"/>
        <v>1.0235178667833249</v>
      </c>
      <c r="AF61" s="66">
        <f t="shared" si="13"/>
        <v>1.0215631785305854</v>
      </c>
      <c r="AG61" s="66">
        <f t="shared" si="13"/>
        <v>1.0202862535223423</v>
      </c>
      <c r="AH61" s="66">
        <f t="shared" si="13"/>
        <v>1.0205697708556092</v>
      </c>
      <c r="AI61" s="66">
        <f t="shared" si="13"/>
        <v>1.0207370964128093</v>
      </c>
      <c r="AJ61" s="66">
        <f t="shared" si="13"/>
        <v>1.0192910617794684</v>
      </c>
      <c r="AK61" s="66">
        <f t="shared" si="13"/>
        <v>1.0186280177604838</v>
      </c>
      <c r="AL61" s="66">
        <f t="shared" si="13"/>
        <v>1.0178986776495014</v>
      </c>
      <c r="AM61" s="66">
        <f t="shared" si="13"/>
        <v>1.0172088183283703</v>
      </c>
      <c r="AN61" s="66">
        <f t="shared" si="13"/>
        <v>1.0156944796694531</v>
      </c>
      <c r="AO61" s="66">
        <f t="shared" si="13"/>
        <v>1.0141634579130774</v>
      </c>
      <c r="AP61" s="66">
        <f t="shared" si="13"/>
        <v>1.0134295926988581</v>
      </c>
      <c r="AQ61" s="66">
        <f t="shared" si="13"/>
        <v>1.0118832289685897</v>
      </c>
      <c r="AR61" s="66">
        <f t="shared" si="13"/>
        <v>1.0110871892624949</v>
      </c>
      <c r="AS61" s="66">
        <f t="shared" si="13"/>
        <v>1.0111452934444816</v>
      </c>
      <c r="AT61" s="66">
        <f t="shared" si="13"/>
        <v>1.0112626831569125</v>
      </c>
      <c r="AU61" s="66">
        <f t="shared" si="13"/>
        <v>1.0113161377970901</v>
      </c>
      <c r="AV61" s="66">
        <f t="shared" si="13"/>
        <v>1.0113682852428609</v>
      </c>
      <c r="AW61" s="66">
        <f t="shared" si="13"/>
        <v>1.0114307255172916</v>
      </c>
      <c r="AX61" s="66">
        <f t="shared" si="13"/>
        <v>1.0106423867655514</v>
      </c>
      <c r="AY61" s="66">
        <f t="shared" si="13"/>
        <v>1.0107161459173892</v>
      </c>
      <c r="AZ61" s="66">
        <f t="shared" si="13"/>
        <v>1.0107970667348798</v>
      </c>
      <c r="BA61" s="66">
        <f t="shared" si="13"/>
        <v>1.0109520805984826</v>
      </c>
      <c r="BB61" s="66">
        <f t="shared" si="13"/>
        <v>1.0118506390060127</v>
      </c>
      <c r="BC61" s="66">
        <f t="shared" si="13"/>
        <v>1.0119530815936146</v>
      </c>
      <c r="BD61" s="66">
        <f t="shared" si="13"/>
        <v>1.012066737972952</v>
      </c>
      <c r="BE61" s="66">
        <f t="shared" si="13"/>
        <v>1.0121791273867724</v>
      </c>
      <c r="BF61" s="66">
        <f t="shared" si="13"/>
        <v>1.0130981269440549</v>
      </c>
      <c r="BG61" s="66">
        <f t="shared" si="13"/>
        <v>1.0132818258349814</v>
      </c>
      <c r="BH61" s="66">
        <f t="shared" si="13"/>
        <v>1.0133994772209471</v>
      </c>
      <c r="BI61" s="66">
        <f t="shared" si="13"/>
        <v>1.0142642352748075</v>
      </c>
    </row>
    <row r="62" spans="1:61">
      <c r="A62" s="60" t="s">
        <v>553</v>
      </c>
      <c r="B62" s="39"/>
      <c r="C62" s="39"/>
      <c r="D62" s="39"/>
      <c r="E62" s="39"/>
      <c r="F62" s="39"/>
      <c r="G62" s="39"/>
      <c r="H62" s="39"/>
      <c r="I62" s="39"/>
      <c r="J62" s="39"/>
      <c r="K62" s="39"/>
      <c r="L62" s="39"/>
      <c r="M62" s="39"/>
      <c r="N62" s="39"/>
      <c r="O62" s="39"/>
      <c r="P62" s="46"/>
      <c r="Q62" s="65"/>
      <c r="T62" s="533"/>
      <c r="U62" s="592"/>
      <c r="V62" s="736"/>
      <c r="W62" s="736"/>
      <c r="X62" s="50"/>
      <c r="Y62" s="51"/>
    </row>
    <row r="63" spans="1:61" ht="30">
      <c r="A63" s="100" t="s">
        <v>554</v>
      </c>
      <c r="B63" s="89"/>
      <c r="C63" s="89"/>
      <c r="D63" s="89"/>
      <c r="E63" s="89"/>
      <c r="F63" s="89"/>
      <c r="G63" s="89"/>
      <c r="H63" s="89"/>
      <c r="I63" s="89"/>
      <c r="J63" s="89"/>
      <c r="K63" s="89"/>
      <c r="L63" s="89"/>
      <c r="M63" s="89"/>
      <c r="N63" s="89"/>
      <c r="O63" s="89"/>
      <c r="P63" s="89"/>
      <c r="Q63" s="500">
        <v>1</v>
      </c>
      <c r="R63" s="66">
        <f t="shared" ref="R63:AP63" si="14">Q63*R61</f>
        <v>1.0616153503184713</v>
      </c>
      <c r="S63" s="66">
        <f t="shared" si="14"/>
        <v>1.1295409938152228</v>
      </c>
      <c r="T63" s="66">
        <f t="shared" si="14"/>
        <v>1.1971500604510183</v>
      </c>
      <c r="U63" s="66">
        <f t="shared" ref="U63:Y63" si="15">T63*U61</f>
        <v>1.2178946351589719</v>
      </c>
      <c r="V63" s="66">
        <f t="shared" si="15"/>
        <v>1.3510008430393725</v>
      </c>
      <c r="W63" s="66">
        <f t="shared" si="15"/>
        <v>1.6150446204056672</v>
      </c>
      <c r="X63" s="72">
        <f t="shared" si="15"/>
        <v>1.8020482905123003</v>
      </c>
      <c r="Y63" s="73">
        <f t="shared" si="15"/>
        <v>1.8514409478637377</v>
      </c>
      <c r="Z63" s="66">
        <f t="shared" si="14"/>
        <v>1.9111642405092499</v>
      </c>
      <c r="AA63" s="66">
        <f t="shared" si="14"/>
        <v>1.9683794263013297</v>
      </c>
      <c r="AB63" s="66">
        <f t="shared" si="14"/>
        <v>2.0171017769813369</v>
      </c>
      <c r="AC63" s="66">
        <f t="shared" si="14"/>
        <v>2.0672053059042041</v>
      </c>
      <c r="AD63" s="66">
        <f t="shared" si="14"/>
        <v>2.1172043497398452</v>
      </c>
      <c r="AE63" s="66">
        <f t="shared" si="14"/>
        <v>2.1669964795901029</v>
      </c>
      <c r="AF63" s="66">
        <f t="shared" si="14"/>
        <v>2.2137238115546545</v>
      </c>
      <c r="AG63" s="66">
        <f t="shared" si="14"/>
        <v>2.2586319740242979</v>
      </c>
      <c r="AH63" s="66">
        <f t="shared" si="14"/>
        <v>2.3050915161771299</v>
      </c>
      <c r="AI63" s="66">
        <f t="shared" si="14"/>
        <v>2.3528924211884439</v>
      </c>
      <c r="AJ63" s="66">
        <f t="shared" si="14"/>
        <v>2.3982822142460329</v>
      </c>
      <c r="AK63" s="66">
        <f t="shared" si="14"/>
        <v>2.4429574579276605</v>
      </c>
      <c r="AL63" s="66">
        <f t="shared" si="14"/>
        <v>2.4866831659785529</v>
      </c>
      <c r="AM63" s="66">
        <f t="shared" si="14"/>
        <v>2.5294760448220943</v>
      </c>
      <c r="AN63" s="66">
        <f t="shared" si="14"/>
        <v>2.5691748551819233</v>
      </c>
      <c r="AO63" s="66">
        <f t="shared" si="14"/>
        <v>2.6055632551146291</v>
      </c>
      <c r="AP63" s="66">
        <f t="shared" si="14"/>
        <v>2.6405549083819295</v>
      </c>
      <c r="AQ63" s="66">
        <f t="shared" ref="AQ63:BI63" si="16">AP63*AQ61</f>
        <v>2.6719332269623655</v>
      </c>
      <c r="AR63" s="66">
        <f t="shared" si="16"/>
        <v>2.7015574563464457</v>
      </c>
      <c r="AS63" s="66">
        <f t="shared" si="16"/>
        <v>2.7316671069545539</v>
      </c>
      <c r="AT63" s="66">
        <f t="shared" si="16"/>
        <v>2.7624330080703428</v>
      </c>
      <c r="AU63" s="66">
        <f t="shared" si="16"/>
        <v>2.7936930806448967</v>
      </c>
      <c r="AV63" s="66">
        <f t="shared" si="16"/>
        <v>2.825452580466675</v>
      </c>
      <c r="AW63" s="66">
        <f t="shared" si="16"/>
        <v>2.857749553376113</v>
      </c>
      <c r="AX63" s="66">
        <f t="shared" si="16"/>
        <v>2.8881628294022232</v>
      </c>
      <c r="AY63" s="66">
        <f t="shared" si="16"/>
        <v>2.9191128037152771</v>
      </c>
      <c r="AZ63" s="66">
        <f t="shared" si="16"/>
        <v>2.9506306594636329</v>
      </c>
      <c r="BA63" s="66">
        <f t="shared" si="16"/>
        <v>2.9829462042624324</v>
      </c>
      <c r="BB63" s="66">
        <f t="shared" si="16"/>
        <v>3.0182960229035021</v>
      </c>
      <c r="BC63" s="66">
        <f t="shared" si="16"/>
        <v>3.0543739615389502</v>
      </c>
      <c r="BD63" s="66">
        <f t="shared" si="16"/>
        <v>3.0912302918042482</v>
      </c>
      <c r="BE63" s="66">
        <f t="shared" si="16"/>
        <v>3.1288787793099817</v>
      </c>
      <c r="BF63" s="66">
        <f t="shared" si="16"/>
        <v>3.1698612307539431</v>
      </c>
      <c r="BG63" s="66">
        <f t="shared" si="16"/>
        <v>3.2119627755418767</v>
      </c>
      <c r="BH63" s="66">
        <f t="shared" si="16"/>
        <v>3.25500139758728</v>
      </c>
      <c r="BI63" s="66">
        <f t="shared" si="16"/>
        <v>3.3014315033422923</v>
      </c>
    </row>
    <row r="64" spans="1:61">
      <c r="A64" s="58" t="s">
        <v>369</v>
      </c>
      <c r="B64" s="39"/>
      <c r="C64" s="39"/>
      <c r="D64" s="39"/>
      <c r="E64" s="39"/>
      <c r="F64" s="39"/>
      <c r="G64" s="39"/>
      <c r="H64" s="39"/>
      <c r="I64" s="96"/>
      <c r="J64" s="96"/>
      <c r="K64" s="96"/>
      <c r="L64" s="96"/>
      <c r="M64" s="96"/>
      <c r="N64" s="96"/>
      <c r="O64" s="96"/>
      <c r="P64" s="96"/>
      <c r="Q64" s="96"/>
      <c r="R64" s="96"/>
      <c r="S64" s="96"/>
      <c r="T64" s="96"/>
      <c r="U64" s="96"/>
      <c r="V64" s="96"/>
      <c r="W64" s="96"/>
      <c r="X64" s="97"/>
      <c r="Y64" s="98"/>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row>
    <row r="65" spans="1:61">
      <c r="A65" s="36" t="s">
        <v>370</v>
      </c>
      <c r="B65" s="86"/>
      <c r="C65" s="86"/>
      <c r="D65" s="86"/>
      <c r="E65" s="86"/>
      <c r="F65" s="86"/>
      <c r="G65" s="86"/>
      <c r="H65" s="86"/>
      <c r="I65" s="86"/>
      <c r="J65" s="86"/>
      <c r="K65" s="86"/>
      <c r="L65" s="86"/>
      <c r="M65" s="86"/>
      <c r="N65" s="500">
        <v>1</v>
      </c>
      <c r="O65" s="66">
        <f>O49/100</f>
        <v>0.98799999999999999</v>
      </c>
      <c r="P65" s="66">
        <f t="shared" ref="P65:X65" si="17">P49/100</f>
        <v>0.995</v>
      </c>
      <c r="Q65" s="66">
        <f t="shared" si="17"/>
        <v>0.996</v>
      </c>
      <c r="R65" s="66">
        <f t="shared" si="17"/>
        <v>1.006</v>
      </c>
      <c r="S65" s="66">
        <f t="shared" si="17"/>
        <v>1.0270000000000001</v>
      </c>
      <c r="T65" s="66">
        <f t="shared" si="17"/>
        <v>1.0349999999999999</v>
      </c>
      <c r="U65" s="66">
        <f t="shared" si="17"/>
        <v>1.026</v>
      </c>
      <c r="V65" s="66">
        <f t="shared" si="17"/>
        <v>1.042</v>
      </c>
      <c r="W65" s="66">
        <f t="shared" si="17"/>
        <v>1.127</v>
      </c>
      <c r="X65" s="72">
        <f t="shared" si="17"/>
        <v>1.1020000000000001</v>
      </c>
      <c r="Y65" s="74">
        <v>1</v>
      </c>
      <c r="Z65" s="70">
        <v>1</v>
      </c>
      <c r="AA65" s="70">
        <v>1</v>
      </c>
      <c r="AB65" s="70">
        <v>1</v>
      </c>
      <c r="AC65" s="70">
        <v>1</v>
      </c>
      <c r="AD65" s="70">
        <v>1</v>
      </c>
      <c r="AE65" s="70">
        <v>1</v>
      </c>
      <c r="AF65" s="70">
        <v>1</v>
      </c>
      <c r="AG65" s="70">
        <v>1</v>
      </c>
      <c r="AH65" s="70">
        <v>1</v>
      </c>
      <c r="AI65" s="70">
        <v>1</v>
      </c>
      <c r="AJ65" s="70">
        <v>1</v>
      </c>
      <c r="AK65" s="70">
        <v>1</v>
      </c>
      <c r="AL65" s="70">
        <v>1</v>
      </c>
      <c r="AM65" s="70">
        <v>1</v>
      </c>
      <c r="AN65" s="70">
        <v>1</v>
      </c>
      <c r="AO65" s="70">
        <v>1</v>
      </c>
      <c r="AP65" s="70">
        <v>1</v>
      </c>
      <c r="AQ65" s="70">
        <v>1</v>
      </c>
      <c r="AR65" s="70">
        <v>1</v>
      </c>
      <c r="AS65" s="70">
        <v>1</v>
      </c>
      <c r="AT65" s="70">
        <v>1</v>
      </c>
      <c r="AU65" s="70">
        <v>1</v>
      </c>
      <c r="AV65" s="70">
        <v>1</v>
      </c>
      <c r="AW65" s="70">
        <v>1</v>
      </c>
      <c r="AX65" s="70">
        <v>1</v>
      </c>
      <c r="AY65" s="70">
        <v>1</v>
      </c>
      <c r="AZ65" s="70">
        <v>1</v>
      </c>
      <c r="BA65" s="70">
        <v>1</v>
      </c>
      <c r="BB65" s="70">
        <v>1</v>
      </c>
      <c r="BC65" s="70">
        <v>1</v>
      </c>
      <c r="BD65" s="70">
        <v>1</v>
      </c>
      <c r="BE65" s="70">
        <v>1</v>
      </c>
      <c r="BF65" s="70">
        <v>1</v>
      </c>
      <c r="BG65" s="70">
        <v>1</v>
      </c>
      <c r="BH65" s="70">
        <v>1</v>
      </c>
      <c r="BI65" s="70">
        <v>1</v>
      </c>
    </row>
    <row r="66" spans="1:61">
      <c r="B66" s="62"/>
      <c r="C66" s="62"/>
      <c r="D66" s="62"/>
      <c r="E66" s="62"/>
      <c r="F66" s="62"/>
      <c r="G66" s="62"/>
      <c r="H66" s="62"/>
      <c r="I66" s="62"/>
      <c r="J66" s="62"/>
      <c r="K66" s="62"/>
      <c r="L66" s="62"/>
      <c r="M66" s="62"/>
      <c r="N66" s="62"/>
      <c r="O66" s="62"/>
    </row>
    <row r="67" spans="1:61" ht="18.75">
      <c r="A67" s="61" t="s">
        <v>898</v>
      </c>
      <c r="B67" s="62"/>
      <c r="C67" s="62"/>
      <c r="D67" s="62"/>
      <c r="E67" s="62"/>
      <c r="F67" s="62"/>
      <c r="G67" s="62"/>
      <c r="H67" s="62"/>
      <c r="I67" s="62"/>
      <c r="J67" s="62"/>
      <c r="K67" s="62"/>
      <c r="L67" s="62"/>
      <c r="M67" s="62"/>
      <c r="N67" s="62"/>
      <c r="O67" s="62"/>
      <c r="P67" s="736"/>
      <c r="Q67" s="736"/>
      <c r="R67" s="736"/>
      <c r="S67" s="736"/>
      <c r="T67" s="736"/>
      <c r="U67" s="736"/>
    </row>
    <row r="68" spans="1:61" s="592" customFormat="1" ht="18.75" customHeight="1">
      <c r="A68" s="756" t="s">
        <v>899</v>
      </c>
      <c r="B68" s="756"/>
      <c r="C68" s="756"/>
      <c r="D68" s="756"/>
      <c r="E68" s="756"/>
      <c r="F68" s="756"/>
      <c r="G68" s="756"/>
      <c r="H68" s="756"/>
      <c r="I68" s="756"/>
      <c r="J68" s="756"/>
      <c r="K68" s="756"/>
      <c r="L68" s="756"/>
      <c r="M68" s="756"/>
      <c r="N68" s="756"/>
      <c r="O68" s="756"/>
      <c r="P68" s="756"/>
      <c r="Q68" s="756"/>
      <c r="R68" s="756"/>
      <c r="S68" s="756"/>
      <c r="T68" s="756"/>
      <c r="U68" s="756"/>
    </row>
    <row r="69" spans="1:61" s="592" customFormat="1" ht="18.75" customHeight="1">
      <c r="A69" s="756"/>
      <c r="B69" s="756"/>
      <c r="C69" s="756"/>
      <c r="D69" s="756"/>
      <c r="E69" s="756"/>
      <c r="F69" s="756"/>
      <c r="G69" s="756"/>
      <c r="H69" s="756"/>
      <c r="I69" s="756"/>
      <c r="J69" s="756"/>
      <c r="K69" s="756"/>
      <c r="L69" s="756"/>
      <c r="M69" s="756"/>
      <c r="N69" s="756"/>
      <c r="O69" s="756"/>
      <c r="P69" s="756"/>
      <c r="Q69" s="756"/>
      <c r="R69" s="756"/>
      <c r="S69" s="756"/>
      <c r="T69" s="756"/>
      <c r="U69" s="756"/>
    </row>
    <row r="70" spans="1:61">
      <c r="A70" s="62" t="s">
        <v>900</v>
      </c>
      <c r="B70" s="736"/>
      <c r="C70" s="736"/>
      <c r="D70" s="736"/>
      <c r="E70" s="736"/>
      <c r="F70" s="736"/>
      <c r="G70" s="736"/>
      <c r="H70" s="736"/>
      <c r="I70" s="736"/>
      <c r="J70" s="736"/>
      <c r="K70" s="736"/>
      <c r="L70" s="736"/>
      <c r="M70" s="736"/>
      <c r="N70" s="736"/>
      <c r="O70" s="736"/>
      <c r="P70" s="736"/>
      <c r="Q70" s="736"/>
      <c r="R70" s="736"/>
      <c r="S70" s="736"/>
      <c r="T70" s="736"/>
      <c r="U70" s="736"/>
    </row>
    <row r="71" spans="1:61" ht="15" customHeight="1">
      <c r="A71" s="753" t="s">
        <v>19</v>
      </c>
      <c r="B71" s="753"/>
      <c r="C71" s="753"/>
      <c r="D71" s="753"/>
      <c r="E71" s="753"/>
      <c r="F71" s="753"/>
      <c r="G71" s="753"/>
      <c r="H71" s="753"/>
      <c r="I71" s="753"/>
      <c r="J71" s="753"/>
      <c r="K71" s="753"/>
      <c r="L71" s="753"/>
      <c r="M71" s="753"/>
      <c r="N71" s="753"/>
      <c r="O71" s="753"/>
      <c r="P71" s="753"/>
      <c r="Q71" s="753"/>
      <c r="R71" s="753"/>
      <c r="S71" s="753"/>
      <c r="T71" s="753"/>
      <c r="U71" s="753"/>
    </row>
    <row r="72" spans="1:61">
      <c r="A72" s="753"/>
      <c r="B72" s="753"/>
      <c r="C72" s="753"/>
      <c r="D72" s="753"/>
      <c r="E72" s="753"/>
      <c r="F72" s="753"/>
      <c r="G72" s="753"/>
      <c r="H72" s="753"/>
      <c r="I72" s="753"/>
      <c r="J72" s="753"/>
      <c r="K72" s="753"/>
      <c r="L72" s="753"/>
      <c r="M72" s="753"/>
      <c r="N72" s="753"/>
      <c r="O72" s="753"/>
      <c r="P72" s="753"/>
      <c r="Q72" s="753"/>
      <c r="R72" s="753"/>
      <c r="S72" s="753"/>
      <c r="T72" s="753"/>
      <c r="U72" s="753"/>
    </row>
    <row r="73" spans="1:61"/>
    <row r="74" spans="1:61" hidden="1"/>
    <row r="75" spans="1:61" hidden="1"/>
    <row r="76" spans="1:61" hidden="1"/>
    <row r="77" spans="1:61" hidden="1"/>
    <row r="78" spans="1:61" hidden="1"/>
    <row r="79" spans="1:61" hidden="1"/>
    <row r="80" spans="1:61"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sheetData>
  <mergeCells count="6">
    <mergeCell ref="A71:U72"/>
    <mergeCell ref="A30:U31"/>
    <mergeCell ref="A32:U33"/>
    <mergeCell ref="A37:U39"/>
    <mergeCell ref="A46:U47"/>
    <mergeCell ref="A68:U69"/>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4"/>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0" defaultRowHeight="15" zeroHeight="1" outlineLevelCol="1"/>
  <cols>
    <col min="1" max="1" width="30.7109375" customWidth="1"/>
    <col min="2" max="2" width="11" customWidth="1"/>
    <col min="3" max="15" width="1.7109375" hidden="1" customWidth="1" outlineLevel="1"/>
    <col min="16" max="16" width="11.7109375" customWidth="1" collapsed="1"/>
    <col min="17" max="62" width="9.140625" customWidth="1"/>
    <col min="63" max="16384" width="9.140625" hidden="1"/>
  </cols>
  <sheetData>
    <row r="1" spans="1:61" ht="21">
      <c r="A1" s="4" t="s">
        <v>555</v>
      </c>
      <c r="B1" s="5"/>
      <c r="C1" s="88"/>
      <c r="D1" s="88"/>
      <c r="E1" s="88"/>
      <c r="F1" s="88"/>
      <c r="G1" s="88"/>
      <c r="H1" s="88"/>
      <c r="I1" s="88"/>
      <c r="J1" s="88"/>
      <c r="K1" s="88"/>
      <c r="L1" s="5"/>
      <c r="M1" s="88"/>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row>
    <row r="2" spans="1:61">
      <c r="A2" s="521" t="str">
        <f>Indeksacja!$A$2</f>
        <v>Dla roku bazowego 2024 właściwe do zastosowania w analizie są wartości kosztów jednostkowych określone według poziomu cenowego z końca roku poprzedniego, tzn. 2023.</v>
      </c>
    </row>
    <row r="3" spans="1:61"/>
    <row r="4" spans="1:61" s="536" customFormat="1">
      <c r="A4" s="187" t="s">
        <v>556</v>
      </c>
    </row>
    <row r="5" spans="1:61" s="536" customFormat="1">
      <c r="A5" s="9" t="s">
        <v>320</v>
      </c>
      <c r="B5" s="657"/>
      <c r="C5" s="538"/>
      <c r="D5" s="538"/>
      <c r="E5" s="538"/>
      <c r="F5" s="538"/>
      <c r="G5" s="538"/>
      <c r="H5" s="538"/>
      <c r="I5" s="538"/>
      <c r="J5" s="538"/>
      <c r="K5" s="538"/>
      <c r="L5" s="538"/>
      <c r="M5" s="538"/>
      <c r="N5" s="538"/>
      <c r="O5" s="538"/>
      <c r="P5" s="658" t="s">
        <v>310</v>
      </c>
      <c r="Q5" s="6"/>
      <c r="R5" s="6"/>
      <c r="S5" s="6"/>
      <c r="T5" s="6">
        <v>2019</v>
      </c>
    </row>
    <row r="6" spans="1:61" s="536" customFormat="1">
      <c r="A6" s="8" t="s">
        <v>321</v>
      </c>
      <c r="B6" s="110" t="s">
        <v>342</v>
      </c>
      <c r="C6" s="13"/>
      <c r="D6" s="13"/>
      <c r="E6" s="13"/>
      <c r="F6" s="13"/>
      <c r="G6" s="13"/>
      <c r="H6" s="13"/>
      <c r="I6" s="13"/>
      <c r="J6" s="13"/>
      <c r="K6" s="13"/>
      <c r="L6" s="13"/>
      <c r="M6" s="13"/>
      <c r="N6" s="13"/>
      <c r="O6" s="13"/>
      <c r="P6" s="13"/>
      <c r="Q6" s="78"/>
      <c r="R6" s="78"/>
      <c r="S6" s="78"/>
      <c r="T6" s="7">
        <v>100.98</v>
      </c>
    </row>
    <row r="7" spans="1:61" s="536" customFormat="1">
      <c r="A7" s="8" t="s">
        <v>322</v>
      </c>
      <c r="B7" s="110" t="s">
        <v>342</v>
      </c>
      <c r="C7" s="13"/>
      <c r="D7" s="13"/>
      <c r="E7" s="13"/>
      <c r="F7" s="13"/>
      <c r="G7" s="13"/>
      <c r="H7" s="13"/>
      <c r="I7" s="13"/>
      <c r="J7" s="13"/>
      <c r="K7" s="13"/>
      <c r="L7" s="13"/>
      <c r="M7" s="13"/>
      <c r="N7" s="13"/>
      <c r="O7" s="13"/>
      <c r="P7" s="13"/>
      <c r="Q7" s="78"/>
      <c r="R7" s="78"/>
      <c r="S7" s="78"/>
      <c r="T7" s="7">
        <v>51.19</v>
      </c>
    </row>
    <row r="8" spans="1:61" s="536" customFormat="1">
      <c r="A8" s="8" t="s">
        <v>323</v>
      </c>
      <c r="B8" s="110" t="s">
        <v>342</v>
      </c>
      <c r="C8" s="13"/>
      <c r="D8" s="13"/>
      <c r="E8" s="13"/>
      <c r="F8" s="13"/>
      <c r="G8" s="13"/>
      <c r="H8" s="13"/>
      <c r="I8" s="13"/>
      <c r="J8" s="13"/>
      <c r="K8" s="13"/>
      <c r="L8" s="13"/>
      <c r="M8" s="13"/>
      <c r="N8" s="13"/>
      <c r="O8" s="13"/>
      <c r="P8" s="13"/>
      <c r="Q8" s="78"/>
      <c r="R8" s="78"/>
      <c r="S8" s="78"/>
      <c r="T8" s="7">
        <v>45.55</v>
      </c>
    </row>
    <row r="9" spans="1:61" s="536" customFormat="1">
      <c r="A9" s="531" t="s">
        <v>568</v>
      </c>
    </row>
    <row r="10" spans="1:61" s="536" customFormat="1"/>
    <row r="11" spans="1:61" s="536" customFormat="1"/>
    <row r="12" spans="1:61" s="521" customFormat="1">
      <c r="A12" s="9" t="s">
        <v>293</v>
      </c>
      <c r="B12" s="6"/>
      <c r="C12" s="6"/>
      <c r="D12" s="6"/>
      <c r="E12" s="6"/>
      <c r="F12" s="6"/>
      <c r="G12" s="6"/>
      <c r="H12" s="6"/>
      <c r="I12" s="6"/>
      <c r="J12" s="6"/>
      <c r="K12" s="6"/>
      <c r="L12" s="6"/>
      <c r="M12" s="6"/>
      <c r="N12" s="6"/>
      <c r="O12" s="6"/>
      <c r="P12" s="6"/>
      <c r="Q12" s="6"/>
      <c r="R12" s="6"/>
      <c r="S12" s="6"/>
      <c r="T12" s="6"/>
      <c r="U12" s="6">
        <v>2020</v>
      </c>
      <c r="V12" s="6">
        <f t="shared" ref="V12:BI12" si="0">U12+1</f>
        <v>2021</v>
      </c>
      <c r="W12" s="6">
        <f t="shared" si="0"/>
        <v>2022</v>
      </c>
      <c r="X12" s="6">
        <f t="shared" si="0"/>
        <v>2023</v>
      </c>
      <c r="Y12" s="6">
        <f t="shared" si="0"/>
        <v>2024</v>
      </c>
      <c r="Z12" s="6">
        <f t="shared" si="0"/>
        <v>2025</v>
      </c>
      <c r="AA12" s="6">
        <f t="shared" si="0"/>
        <v>2026</v>
      </c>
      <c r="AB12" s="6">
        <f t="shared" si="0"/>
        <v>2027</v>
      </c>
      <c r="AC12" s="6">
        <f t="shared" si="0"/>
        <v>2028</v>
      </c>
      <c r="AD12" s="6">
        <f t="shared" si="0"/>
        <v>2029</v>
      </c>
      <c r="AE12" s="6">
        <f t="shared" si="0"/>
        <v>2030</v>
      </c>
      <c r="AF12" s="6">
        <f t="shared" si="0"/>
        <v>2031</v>
      </c>
      <c r="AG12" s="6">
        <f t="shared" si="0"/>
        <v>2032</v>
      </c>
      <c r="AH12" s="6">
        <f t="shared" si="0"/>
        <v>2033</v>
      </c>
      <c r="AI12" s="6">
        <f t="shared" si="0"/>
        <v>2034</v>
      </c>
      <c r="AJ12" s="6">
        <f t="shared" si="0"/>
        <v>2035</v>
      </c>
      <c r="AK12" s="6">
        <f t="shared" si="0"/>
        <v>2036</v>
      </c>
      <c r="AL12" s="6">
        <f t="shared" si="0"/>
        <v>2037</v>
      </c>
      <c r="AM12" s="6">
        <f t="shared" si="0"/>
        <v>2038</v>
      </c>
      <c r="AN12" s="6">
        <f t="shared" si="0"/>
        <v>2039</v>
      </c>
      <c r="AO12" s="6">
        <f t="shared" si="0"/>
        <v>2040</v>
      </c>
      <c r="AP12" s="6">
        <f t="shared" si="0"/>
        <v>2041</v>
      </c>
      <c r="AQ12" s="6">
        <f t="shared" si="0"/>
        <v>2042</v>
      </c>
      <c r="AR12" s="6">
        <f t="shared" si="0"/>
        <v>2043</v>
      </c>
      <c r="AS12" s="6">
        <f t="shared" si="0"/>
        <v>2044</v>
      </c>
      <c r="AT12" s="6">
        <f t="shared" si="0"/>
        <v>2045</v>
      </c>
      <c r="AU12" s="6">
        <f t="shared" si="0"/>
        <v>2046</v>
      </c>
      <c r="AV12" s="6">
        <f t="shared" si="0"/>
        <v>2047</v>
      </c>
      <c r="AW12" s="6">
        <f t="shared" si="0"/>
        <v>2048</v>
      </c>
      <c r="AX12" s="6">
        <f t="shared" si="0"/>
        <v>2049</v>
      </c>
      <c r="AY12" s="6">
        <f t="shared" si="0"/>
        <v>2050</v>
      </c>
      <c r="AZ12" s="6">
        <f t="shared" si="0"/>
        <v>2051</v>
      </c>
      <c r="BA12" s="6">
        <f t="shared" si="0"/>
        <v>2052</v>
      </c>
      <c r="BB12" s="6">
        <f t="shared" si="0"/>
        <v>2053</v>
      </c>
      <c r="BC12" s="6">
        <f t="shared" si="0"/>
        <v>2054</v>
      </c>
      <c r="BD12" s="6">
        <f t="shared" si="0"/>
        <v>2055</v>
      </c>
      <c r="BE12" s="6">
        <f t="shared" si="0"/>
        <v>2056</v>
      </c>
      <c r="BF12" s="6">
        <f t="shared" si="0"/>
        <v>2057</v>
      </c>
      <c r="BG12" s="6">
        <f t="shared" si="0"/>
        <v>2058</v>
      </c>
      <c r="BH12" s="6">
        <f t="shared" si="0"/>
        <v>2059</v>
      </c>
      <c r="BI12" s="6">
        <f t="shared" si="0"/>
        <v>2060</v>
      </c>
    </row>
    <row r="13" spans="1:61" s="521" customFormat="1">
      <c r="A13" s="8" t="s">
        <v>325</v>
      </c>
      <c r="B13" s="13"/>
      <c r="C13" s="13"/>
      <c r="D13" s="13"/>
      <c r="E13" s="13"/>
      <c r="F13" s="13"/>
      <c r="G13" s="13"/>
      <c r="H13" s="13"/>
      <c r="I13" s="13"/>
      <c r="J13" s="13"/>
      <c r="K13" s="13"/>
      <c r="L13" s="13"/>
      <c r="M13" s="13"/>
      <c r="N13" s="13"/>
      <c r="O13" s="13"/>
      <c r="P13" s="13"/>
      <c r="Q13" s="13"/>
      <c r="R13" s="13"/>
      <c r="S13" s="13"/>
      <c r="T13" s="13"/>
      <c r="U13" s="10">
        <f>Indeksacja!U$56</f>
        <v>1.0235801871426096</v>
      </c>
      <c r="V13" s="10">
        <f>Indeksacja!V$56</f>
        <v>1.0874325345958737</v>
      </c>
      <c r="W13" s="10">
        <f>Indeksacja!W$56</f>
        <v>1.1761519303294208</v>
      </c>
      <c r="X13" s="10">
        <f>Indeksacja!X$56</f>
        <v>1.1151178419406693</v>
      </c>
      <c r="Y13" s="10">
        <f>Indeksacja!Y$56</f>
        <v>1.0171307345131535</v>
      </c>
      <c r="Z13" s="10">
        <f>Indeksacja!Z$56</f>
        <v>1.020161084773735</v>
      </c>
      <c r="AA13" s="10">
        <f>Indeksacja!AA$56</f>
        <v>1.0187108414662056</v>
      </c>
      <c r="AB13" s="10">
        <f>Indeksacja!AB$56</f>
        <v>1.0154703248612105</v>
      </c>
      <c r="AC13" s="10">
        <f>Indeksacja!AC$56</f>
        <v>1.015524603633861</v>
      </c>
      <c r="AD13" s="10">
        <f>Indeksacja!AD$56</f>
        <v>1.0151167386751685</v>
      </c>
      <c r="AE13" s="10">
        <f>Indeksacja!AE$56</f>
        <v>1.0146986667395781</v>
      </c>
      <c r="AF13" s="10">
        <f>Indeksacja!AF$56</f>
        <v>1.0134769865816158</v>
      </c>
      <c r="AG13" s="10">
        <f>Indeksacja!AG$56</f>
        <v>1.012678908451464</v>
      </c>
      <c r="AH13" s="10">
        <f>Indeksacja!AH$56</f>
        <v>1.0128561067847557</v>
      </c>
      <c r="AI13" s="10">
        <f>Indeksacja!AI$56</f>
        <v>1.012960685258006</v>
      </c>
      <c r="AJ13" s="10">
        <f>Indeksacja!AJ$56</f>
        <v>1.0120569136121678</v>
      </c>
      <c r="AK13" s="10">
        <f>Indeksacja!AK$56</f>
        <v>1.0116425111003025</v>
      </c>
      <c r="AL13" s="10">
        <f>Indeksacja!AL$56</f>
        <v>1.0111866735309385</v>
      </c>
      <c r="AM13" s="10">
        <f>Indeksacja!AM$56</f>
        <v>1.0107555114552316</v>
      </c>
      <c r="AN13" s="10">
        <f>Indeksacja!AN$56</f>
        <v>1.0098090497934082</v>
      </c>
      <c r="AO13" s="10">
        <f>Indeksacja!AO$56</f>
        <v>1.0088521611956733</v>
      </c>
      <c r="AP13" s="10">
        <f>Indeksacja!AP$56</f>
        <v>1.0083934954367864</v>
      </c>
      <c r="AQ13" s="10">
        <f>Indeksacja!AQ$56</f>
        <v>1.0074270181053686</v>
      </c>
      <c r="AR13" s="10">
        <f>Indeksacja!AR$56</f>
        <v>1.0069294932890593</v>
      </c>
      <c r="AS13" s="10">
        <f>Indeksacja!AS$56</f>
        <v>1.0069658084028008</v>
      </c>
      <c r="AT13" s="10">
        <f>Indeksacja!AT$56</f>
        <v>1.0070391769730702</v>
      </c>
      <c r="AU13" s="10">
        <f>Indeksacja!AU$56</f>
        <v>1.0070725861231813</v>
      </c>
      <c r="AV13" s="10">
        <f>Indeksacja!AV$56</f>
        <v>1.0071051782767881</v>
      </c>
      <c r="AW13" s="10">
        <f>Indeksacja!AW$56</f>
        <v>1.0071442034483074</v>
      </c>
      <c r="AX13" s="10">
        <f>Indeksacja!AX$56</f>
        <v>1.0066514917284697</v>
      </c>
      <c r="AY13" s="10">
        <f>Indeksacja!AY$56</f>
        <v>1.0066975911983682</v>
      </c>
      <c r="AZ13" s="10">
        <f>Indeksacja!AZ$56</f>
        <v>1.0067481667092999</v>
      </c>
      <c r="BA13" s="10">
        <f>Indeksacja!BA$56</f>
        <v>1.0068450503740516</v>
      </c>
      <c r="BB13" s="10">
        <f>Indeksacja!BB$56</f>
        <v>1.0074066493787579</v>
      </c>
      <c r="BC13" s="10">
        <f>Indeksacja!BC$56</f>
        <v>1.007470675996009</v>
      </c>
      <c r="BD13" s="10">
        <f>Indeksacja!BD$56</f>
        <v>1.0075417112330949</v>
      </c>
      <c r="BE13" s="10">
        <f>Indeksacja!BE$56</f>
        <v>1.0076119546167328</v>
      </c>
      <c r="BF13" s="10">
        <f>Indeksacja!BF$56</f>
        <v>1.0081863293400342</v>
      </c>
      <c r="BG13" s="10">
        <f>Indeksacja!BG$56</f>
        <v>1.0083011411468634</v>
      </c>
      <c r="BH13" s="10">
        <f>Indeksacja!BH$56</f>
        <v>1.0083746732630918</v>
      </c>
      <c r="BI13" s="10">
        <f>Indeksacja!BI$56</f>
        <v>1.0089151470467548</v>
      </c>
    </row>
    <row r="14" spans="1:61" s="521" customFormat="1"/>
    <row r="15" spans="1:61" s="521" customFormat="1"/>
    <row r="16" spans="1:61">
      <c r="A16" s="759" t="s">
        <v>901</v>
      </c>
      <c r="B16" s="759"/>
      <c r="C16" s="759"/>
      <c r="D16" s="759"/>
      <c r="E16" s="759"/>
      <c r="F16" s="759"/>
      <c r="G16" s="759"/>
      <c r="H16" s="759"/>
      <c r="I16" s="759"/>
      <c r="J16" s="759"/>
      <c r="K16" s="759"/>
      <c r="L16" s="759"/>
      <c r="M16" s="759"/>
      <c r="N16" s="759"/>
      <c r="O16" s="759"/>
      <c r="P16" s="759"/>
      <c r="Q16" s="759"/>
      <c r="R16" s="759"/>
      <c r="S16" s="759"/>
      <c r="T16" s="759"/>
      <c r="U16" s="759"/>
      <c r="V16" s="759"/>
    </row>
    <row r="17" spans="1:61" s="592" customFormat="1">
      <c r="A17" s="759"/>
      <c r="B17" s="759"/>
      <c r="C17" s="759"/>
      <c r="D17" s="759"/>
      <c r="E17" s="759"/>
      <c r="F17" s="759"/>
      <c r="G17" s="759"/>
      <c r="H17" s="759"/>
      <c r="I17" s="759"/>
      <c r="J17" s="759"/>
      <c r="K17" s="759"/>
      <c r="L17" s="759"/>
      <c r="M17" s="759"/>
      <c r="N17" s="759"/>
      <c r="O17" s="759"/>
      <c r="P17" s="759"/>
      <c r="Q17" s="759"/>
      <c r="R17" s="759"/>
      <c r="S17" s="759"/>
      <c r="T17" s="759"/>
      <c r="U17" s="759"/>
      <c r="V17" s="759"/>
    </row>
    <row r="18" spans="1:61"/>
    <row r="19" spans="1:61">
      <c r="A19" s="757" t="s">
        <v>320</v>
      </c>
      <c r="B19" s="663" t="s">
        <v>309</v>
      </c>
      <c r="C19" s="649"/>
      <c r="D19" s="649"/>
      <c r="E19" s="649"/>
      <c r="F19" s="649"/>
      <c r="G19" s="649"/>
      <c r="H19" s="649"/>
      <c r="I19" s="649"/>
      <c r="J19" s="649"/>
      <c r="K19" s="649"/>
      <c r="L19" s="649"/>
      <c r="M19" s="649"/>
      <c r="N19" s="649"/>
      <c r="O19" s="649"/>
      <c r="P19" s="652"/>
      <c r="Q19" s="6"/>
      <c r="R19" s="6"/>
      <c r="S19" s="6"/>
      <c r="T19" s="6">
        <v>2020</v>
      </c>
      <c r="U19" s="6">
        <f t="shared" ref="U19:BI19" si="1">T19+1</f>
        <v>2021</v>
      </c>
      <c r="V19" s="6">
        <f t="shared" si="1"/>
        <v>2022</v>
      </c>
      <c r="W19" s="6">
        <f t="shared" si="1"/>
        <v>2023</v>
      </c>
      <c r="X19" s="6">
        <f t="shared" si="1"/>
        <v>2024</v>
      </c>
      <c r="Y19" s="6">
        <f t="shared" si="1"/>
        <v>2025</v>
      </c>
      <c r="Z19" s="6">
        <f t="shared" si="1"/>
        <v>2026</v>
      </c>
      <c r="AA19" s="6">
        <f t="shared" si="1"/>
        <v>2027</v>
      </c>
      <c r="AB19" s="6">
        <f t="shared" si="1"/>
        <v>2028</v>
      </c>
      <c r="AC19" s="6">
        <f t="shared" si="1"/>
        <v>2029</v>
      </c>
      <c r="AD19" s="6">
        <f t="shared" si="1"/>
        <v>2030</v>
      </c>
      <c r="AE19" s="6">
        <f t="shared" si="1"/>
        <v>2031</v>
      </c>
      <c r="AF19" s="6">
        <f t="shared" si="1"/>
        <v>2032</v>
      </c>
      <c r="AG19" s="6">
        <f t="shared" si="1"/>
        <v>2033</v>
      </c>
      <c r="AH19" s="6">
        <f t="shared" si="1"/>
        <v>2034</v>
      </c>
      <c r="AI19" s="6">
        <f t="shared" si="1"/>
        <v>2035</v>
      </c>
      <c r="AJ19" s="6">
        <f t="shared" si="1"/>
        <v>2036</v>
      </c>
      <c r="AK19" s="6">
        <f t="shared" si="1"/>
        <v>2037</v>
      </c>
      <c r="AL19" s="6">
        <f t="shared" si="1"/>
        <v>2038</v>
      </c>
      <c r="AM19" s="6">
        <f t="shared" si="1"/>
        <v>2039</v>
      </c>
      <c r="AN19" s="6">
        <f t="shared" si="1"/>
        <v>2040</v>
      </c>
      <c r="AO19" s="6">
        <f t="shared" si="1"/>
        <v>2041</v>
      </c>
      <c r="AP19" s="6">
        <f t="shared" si="1"/>
        <v>2042</v>
      </c>
      <c r="AQ19" s="6">
        <f t="shared" si="1"/>
        <v>2043</v>
      </c>
      <c r="AR19" s="6">
        <f t="shared" si="1"/>
        <v>2044</v>
      </c>
      <c r="AS19" s="6">
        <f t="shared" si="1"/>
        <v>2045</v>
      </c>
      <c r="AT19" s="6">
        <f t="shared" si="1"/>
        <v>2046</v>
      </c>
      <c r="AU19" s="6">
        <f t="shared" si="1"/>
        <v>2047</v>
      </c>
      <c r="AV19" s="6">
        <f t="shared" si="1"/>
        <v>2048</v>
      </c>
      <c r="AW19" s="6">
        <f t="shared" si="1"/>
        <v>2049</v>
      </c>
      <c r="AX19" s="6">
        <f t="shared" si="1"/>
        <v>2050</v>
      </c>
      <c r="AY19" s="6">
        <f t="shared" si="1"/>
        <v>2051</v>
      </c>
      <c r="AZ19" s="6">
        <f t="shared" si="1"/>
        <v>2052</v>
      </c>
      <c r="BA19" s="6">
        <f t="shared" si="1"/>
        <v>2053</v>
      </c>
      <c r="BB19" s="6">
        <f t="shared" si="1"/>
        <v>2054</v>
      </c>
      <c r="BC19" s="6">
        <f t="shared" si="1"/>
        <v>2055</v>
      </c>
      <c r="BD19" s="6">
        <f t="shared" si="1"/>
        <v>2056</v>
      </c>
      <c r="BE19" s="6">
        <f t="shared" si="1"/>
        <v>2057</v>
      </c>
      <c r="BF19" s="6">
        <f t="shared" si="1"/>
        <v>2058</v>
      </c>
      <c r="BG19" s="6">
        <f t="shared" si="1"/>
        <v>2059</v>
      </c>
      <c r="BH19" s="6">
        <f t="shared" si="1"/>
        <v>2060</v>
      </c>
      <c r="BI19" s="6">
        <f t="shared" si="1"/>
        <v>2061</v>
      </c>
    </row>
    <row r="20" spans="1:61">
      <c r="A20" s="758"/>
      <c r="B20" s="664" t="s">
        <v>510</v>
      </c>
      <c r="C20" s="647"/>
      <c r="D20" s="647"/>
      <c r="E20" s="647"/>
      <c r="F20" s="647"/>
      <c r="G20" s="647"/>
      <c r="H20" s="647"/>
      <c r="I20" s="647"/>
      <c r="J20" s="647"/>
      <c r="K20" s="647"/>
      <c r="L20" s="647"/>
      <c r="M20" s="647"/>
      <c r="N20" s="647"/>
      <c r="O20" s="647"/>
      <c r="P20" s="665"/>
      <c r="Q20" s="661">
        <f>DATE(2016,12,31)</f>
        <v>42735</v>
      </c>
      <c r="R20" s="661">
        <f>DATE(YEAR(Q20+1),12,31)</f>
        <v>43100</v>
      </c>
      <c r="S20" s="661">
        <f t="shared" ref="S20:BI20" si="2">DATE(YEAR(R20+1),12,31)</f>
        <v>43465</v>
      </c>
      <c r="T20" s="661">
        <f t="shared" si="2"/>
        <v>43830</v>
      </c>
      <c r="U20" s="661">
        <f t="shared" si="2"/>
        <v>44196</v>
      </c>
      <c r="V20" s="661">
        <f t="shared" si="2"/>
        <v>44561</v>
      </c>
      <c r="W20" s="661">
        <f t="shared" si="2"/>
        <v>44926</v>
      </c>
      <c r="X20" s="661">
        <f t="shared" si="2"/>
        <v>45291</v>
      </c>
      <c r="Y20" s="661">
        <f t="shared" si="2"/>
        <v>45657</v>
      </c>
      <c r="Z20" s="661">
        <f t="shared" si="2"/>
        <v>46022</v>
      </c>
      <c r="AA20" s="661">
        <f t="shared" si="2"/>
        <v>46387</v>
      </c>
      <c r="AB20" s="661">
        <f t="shared" si="2"/>
        <v>46752</v>
      </c>
      <c r="AC20" s="661">
        <f t="shared" si="2"/>
        <v>47118</v>
      </c>
      <c r="AD20" s="661">
        <f t="shared" si="2"/>
        <v>47483</v>
      </c>
      <c r="AE20" s="661">
        <f t="shared" si="2"/>
        <v>47848</v>
      </c>
      <c r="AF20" s="661">
        <f t="shared" si="2"/>
        <v>48213</v>
      </c>
      <c r="AG20" s="661">
        <f t="shared" si="2"/>
        <v>48579</v>
      </c>
      <c r="AH20" s="661">
        <f t="shared" si="2"/>
        <v>48944</v>
      </c>
      <c r="AI20" s="661">
        <f t="shared" si="2"/>
        <v>49309</v>
      </c>
      <c r="AJ20" s="661">
        <f t="shared" si="2"/>
        <v>49674</v>
      </c>
      <c r="AK20" s="661">
        <f t="shared" si="2"/>
        <v>50040</v>
      </c>
      <c r="AL20" s="661">
        <f t="shared" si="2"/>
        <v>50405</v>
      </c>
      <c r="AM20" s="661">
        <f t="shared" si="2"/>
        <v>50770</v>
      </c>
      <c r="AN20" s="661">
        <f t="shared" si="2"/>
        <v>51135</v>
      </c>
      <c r="AO20" s="661">
        <f t="shared" si="2"/>
        <v>51501</v>
      </c>
      <c r="AP20" s="661">
        <f t="shared" si="2"/>
        <v>51866</v>
      </c>
      <c r="AQ20" s="661">
        <f t="shared" si="2"/>
        <v>52231</v>
      </c>
      <c r="AR20" s="661">
        <f t="shared" si="2"/>
        <v>52596</v>
      </c>
      <c r="AS20" s="661">
        <f t="shared" si="2"/>
        <v>52962</v>
      </c>
      <c r="AT20" s="661">
        <f t="shared" si="2"/>
        <v>53327</v>
      </c>
      <c r="AU20" s="661">
        <f t="shared" si="2"/>
        <v>53692</v>
      </c>
      <c r="AV20" s="661">
        <f t="shared" si="2"/>
        <v>54057</v>
      </c>
      <c r="AW20" s="661">
        <f t="shared" si="2"/>
        <v>54423</v>
      </c>
      <c r="AX20" s="661">
        <f t="shared" si="2"/>
        <v>54788</v>
      </c>
      <c r="AY20" s="661">
        <f t="shared" si="2"/>
        <v>55153</v>
      </c>
      <c r="AZ20" s="661">
        <f t="shared" si="2"/>
        <v>55518</v>
      </c>
      <c r="BA20" s="661">
        <f t="shared" si="2"/>
        <v>55884</v>
      </c>
      <c r="BB20" s="661">
        <f t="shared" si="2"/>
        <v>56249</v>
      </c>
      <c r="BC20" s="661">
        <f t="shared" si="2"/>
        <v>56614</v>
      </c>
      <c r="BD20" s="661">
        <f t="shared" si="2"/>
        <v>56979</v>
      </c>
      <c r="BE20" s="661">
        <f t="shared" si="2"/>
        <v>57345</v>
      </c>
      <c r="BF20" s="661">
        <f t="shared" si="2"/>
        <v>57710</v>
      </c>
      <c r="BG20" s="661">
        <f t="shared" si="2"/>
        <v>58075</v>
      </c>
      <c r="BH20" s="661">
        <f t="shared" si="2"/>
        <v>58440</v>
      </c>
      <c r="BI20" s="661">
        <f t="shared" si="2"/>
        <v>58806</v>
      </c>
    </row>
    <row r="21" spans="1:61">
      <c r="A21" s="8" t="s">
        <v>321</v>
      </c>
      <c r="B21" s="110" t="s">
        <v>342</v>
      </c>
      <c r="C21" s="13"/>
      <c r="D21" s="13"/>
      <c r="E21" s="13"/>
      <c r="F21" s="13"/>
      <c r="G21" s="13"/>
      <c r="H21" s="13"/>
      <c r="I21" s="13"/>
      <c r="J21" s="13"/>
      <c r="K21" s="13"/>
      <c r="L21" s="13"/>
      <c r="M21" s="13"/>
      <c r="N21" s="13"/>
      <c r="O21" s="13"/>
      <c r="P21" s="13"/>
      <c r="Q21" s="78"/>
      <c r="R21" s="78"/>
      <c r="S21" s="78"/>
      <c r="T21" s="77">
        <f>T6</f>
        <v>100.98</v>
      </c>
      <c r="U21" s="188">
        <f>T21*U$13</f>
        <v>103.36112729766072</v>
      </c>
      <c r="V21" s="10">
        <f t="shared" ref="V21:BI23" si="3">U21*V$13</f>
        <v>112.39825263598195</v>
      </c>
      <c r="W21" s="10">
        <f t="shared" si="3"/>
        <v>132.19742180346407</v>
      </c>
      <c r="X21" s="10">
        <f t="shared" si="3"/>
        <v>147.41570371159924</v>
      </c>
      <c r="Y21" s="10">
        <f t="shared" si="3"/>
        <v>149.94104299495234</v>
      </c>
      <c r="Z21" s="10">
        <f t="shared" si="3"/>
        <v>152.96401707383583</v>
      </c>
      <c r="AA21" s="10">
        <f t="shared" si="3"/>
        <v>155.82610254733834</v>
      </c>
      <c r="AB21" s="10">
        <f t="shared" si="3"/>
        <v>158.23678297560195</v>
      </c>
      <c r="AC21" s="10">
        <f t="shared" si="3"/>
        <v>160.69334631159546</v>
      </c>
      <c r="AD21" s="10">
        <f t="shared" si="3"/>
        <v>163.12250563462621</v>
      </c>
      <c r="AE21" s="10">
        <f t="shared" si="3"/>
        <v>165.52018898267454</v>
      </c>
      <c r="AF21" s="10">
        <f t="shared" si="3"/>
        <v>167.75090234858055</v>
      </c>
      <c r="AG21" s="10">
        <f t="shared" si="3"/>
        <v>169.8778006821087</v>
      </c>
      <c r="AH21" s="10">
        <f t="shared" si="3"/>
        <v>172.06176782803732</v>
      </c>
      <c r="AI21" s="10">
        <f t="shared" si="3"/>
        <v>174.2918062457926</v>
      </c>
      <c r="AJ21" s="10">
        <f t="shared" si="3"/>
        <v>176.39322749700679</v>
      </c>
      <c r="AK21" s="10">
        <f t="shared" si="3"/>
        <v>178.44688760615887</v>
      </c>
      <c r="AL21" s="10">
        <f t="shared" si="3"/>
        <v>180.44311468042105</v>
      </c>
      <c r="AM21" s="10">
        <f t="shared" si="3"/>
        <v>182.38387266738397</v>
      </c>
      <c r="AN21" s="10">
        <f t="shared" si="3"/>
        <v>184.17288515589297</v>
      </c>
      <c r="AO21" s="10">
        <f t="shared" si="3"/>
        <v>185.80321322316516</v>
      </c>
      <c r="AP21" s="10">
        <f t="shared" si="3"/>
        <v>187.36275164549403</v>
      </c>
      <c r="AQ21" s="10">
        <f t="shared" si="3"/>
        <v>188.75429819423678</v>
      </c>
      <c r="AR21" s="10">
        <f t="shared" si="3"/>
        <v>190.06226983685485</v>
      </c>
      <c r="AS21" s="10">
        <f t="shared" si="3"/>
        <v>191.38620719313982</v>
      </c>
      <c r="AT21" s="10">
        <f t="shared" si="3"/>
        <v>192.73340857577702</v>
      </c>
      <c r="AU21" s="10">
        <f t="shared" si="3"/>
        <v>194.09653220674349</v>
      </c>
      <c r="AV21" s="10">
        <f t="shared" si="3"/>
        <v>195.47562267097877</v>
      </c>
      <c r="AW21" s="10">
        <f t="shared" si="3"/>
        <v>196.8721402885248</v>
      </c>
      <c r="AX21" s="10">
        <f t="shared" si="3"/>
        <v>198.18163370122005</v>
      </c>
      <c r="AY21" s="10">
        <f t="shared" si="3"/>
        <v>199.50897326677557</v>
      </c>
      <c r="AZ21" s="10">
        <f t="shared" si="3"/>
        <v>200.85529307838104</v>
      </c>
      <c r="BA21" s="10">
        <f t="shared" si="3"/>
        <v>202.23015767739744</v>
      </c>
      <c r="BB21" s="10">
        <f t="shared" si="3"/>
        <v>203.72800554912484</v>
      </c>
      <c r="BC21" s="10">
        <f t="shared" si="3"/>
        <v>205.24999146989549</v>
      </c>
      <c r="BD21" s="10">
        <f t="shared" si="3"/>
        <v>206.79792763615663</v>
      </c>
      <c r="BE21" s="10">
        <f t="shared" si="3"/>
        <v>208.37206407615744</v>
      </c>
      <c r="BF21" s="10">
        <f t="shared" si="3"/>
        <v>210.07786641794758</v>
      </c>
      <c r="BG21" s="10">
        <f t="shared" si="3"/>
        <v>211.82175243891487</v>
      </c>
      <c r="BH21" s="10">
        <f t="shared" si="3"/>
        <v>213.59569040560632</v>
      </c>
      <c r="BI21" s="10">
        <f t="shared" si="3"/>
        <v>215.49992739412542</v>
      </c>
    </row>
    <row r="22" spans="1:61">
      <c r="A22" s="8" t="s">
        <v>322</v>
      </c>
      <c r="B22" s="110" t="s">
        <v>342</v>
      </c>
      <c r="C22" s="13"/>
      <c r="D22" s="13"/>
      <c r="E22" s="13"/>
      <c r="F22" s="13"/>
      <c r="G22" s="13"/>
      <c r="H22" s="13"/>
      <c r="I22" s="13"/>
      <c r="J22" s="13"/>
      <c r="K22" s="13"/>
      <c r="L22" s="13"/>
      <c r="M22" s="13"/>
      <c r="N22" s="13"/>
      <c r="O22" s="13"/>
      <c r="P22" s="13"/>
      <c r="Q22" s="78"/>
      <c r="R22" s="78"/>
      <c r="S22" s="78"/>
      <c r="T22" s="77">
        <f>T7</f>
        <v>51.19</v>
      </c>
      <c r="U22" s="188">
        <f t="shared" ref="U22:AJ23" si="4">T22*U$13</f>
        <v>52.397069779830183</v>
      </c>
      <c r="V22" s="10">
        <f t="shared" si="4"/>
        <v>56.978278396077599</v>
      </c>
      <c r="W22" s="10">
        <f t="shared" si="4"/>
        <v>67.015112122393802</v>
      </c>
      <c r="X22" s="10">
        <f t="shared" si="4"/>
        <v>74.729747207335762</v>
      </c>
      <c r="Y22" s="10">
        <f t="shared" si="4"/>
        <v>76.009922666979705</v>
      </c>
      <c r="Z22" s="10">
        <f t="shared" si="4"/>
        <v>77.542365161513729</v>
      </c>
      <c r="AA22" s="10">
        <f t="shared" si="4"/>
        <v>78.993248062965435</v>
      </c>
      <c r="AB22" s="10">
        <f t="shared" si="4"/>
        <v>80.215299272341696</v>
      </c>
      <c r="AC22" s="10">
        <f t="shared" si="4"/>
        <v>81.46060999891634</v>
      </c>
      <c r="AD22" s="10">
        <f t="shared" si="4"/>
        <v>82.692028752589778</v>
      </c>
      <c r="AE22" s="10">
        <f t="shared" si="4"/>
        <v>83.907491325243711</v>
      </c>
      <c r="AF22" s="10">
        <f t="shared" si="4"/>
        <v>85.038311459931066</v>
      </c>
      <c r="AG22" s="10">
        <f t="shared" si="4"/>
        <v>86.11650442579861</v>
      </c>
      <c r="AH22" s="10">
        <f t="shared" si="4"/>
        <v>87.223627402626562</v>
      </c>
      <c r="AI22" s="10">
        <f t="shared" si="4"/>
        <v>88.35410538445359</v>
      </c>
      <c r="AJ22" s="10">
        <f t="shared" si="4"/>
        <v>89.419383200354318</v>
      </c>
      <c r="AK22" s="10">
        <f t="shared" si="3"/>
        <v>90.460449361846642</v>
      </c>
      <c r="AL22" s="10">
        <f t="shared" si="3"/>
        <v>91.472400876319611</v>
      </c>
      <c r="AM22" s="10">
        <f t="shared" si="3"/>
        <v>92.4562333317824</v>
      </c>
      <c r="AN22" s="10">
        <f t="shared" si="3"/>
        <v>93.36314112824482</v>
      </c>
      <c r="AO22" s="10">
        <f t="shared" si="3"/>
        <v>94.18960670324644</v>
      </c>
      <c r="AP22" s="10">
        <f t="shared" si="3"/>
        <v>94.980186737302844</v>
      </c>
      <c r="AQ22" s="10">
        <f t="shared" si="3"/>
        <v>95.685606303852083</v>
      </c>
      <c r="AR22" s="10">
        <f t="shared" si="3"/>
        <v>96.348659070594195</v>
      </c>
      <c r="AS22" s="10">
        <f t="shared" si="3"/>
        <v>97.019805369546731</v>
      </c>
      <c r="AT22" s="10">
        <f t="shared" si="3"/>
        <v>97.702744949435797</v>
      </c>
      <c r="AU22" s="10">
        <f t="shared" si="3"/>
        <v>98.393756027561892</v>
      </c>
      <c r="AV22" s="10">
        <f t="shared" si="3"/>
        <v>99.092861205460522</v>
      </c>
      <c r="AW22" s="10">
        <f t="shared" si="3"/>
        <v>99.800800766187209</v>
      </c>
      <c r="AX22" s="10">
        <f t="shared" si="3"/>
        <v>100.46462496697815</v>
      </c>
      <c r="AY22" s="10">
        <f t="shared" si="3"/>
        <v>101.13749595490435</v>
      </c>
      <c r="AZ22" s="10">
        <f t="shared" si="3"/>
        <v>101.81998863816919</v>
      </c>
      <c r="BA22" s="10">
        <f t="shared" si="3"/>
        <v>102.51695158948282</v>
      </c>
      <c r="BB22" s="10">
        <f t="shared" si="3"/>
        <v>103.27625870528522</v>
      </c>
      <c r="BC22" s="10">
        <f t="shared" si="3"/>
        <v>104.04780217215242</v>
      </c>
      <c r="BD22" s="10">
        <f t="shared" si="3"/>
        <v>104.83250065057297</v>
      </c>
      <c r="BE22" s="10">
        <f t="shared" si="3"/>
        <v>105.63048088788373</v>
      </c>
      <c r="BF22" s="10">
        <f t="shared" si="3"/>
        <v>106.49520679277813</v>
      </c>
      <c r="BG22" s="10">
        <f t="shared" si="3"/>
        <v>107.37923853582939</v>
      </c>
      <c r="BH22" s="10">
        <f t="shared" si="3"/>
        <v>108.27850457380656</v>
      </c>
      <c r="BI22" s="10">
        <f t="shared" si="3"/>
        <v>109.24382336408475</v>
      </c>
    </row>
    <row r="23" spans="1:61">
      <c r="A23" s="8" t="s">
        <v>323</v>
      </c>
      <c r="B23" s="110" t="s">
        <v>342</v>
      </c>
      <c r="C23" s="13"/>
      <c r="D23" s="13"/>
      <c r="E23" s="13"/>
      <c r="F23" s="13"/>
      <c r="G23" s="13"/>
      <c r="H23" s="13"/>
      <c r="I23" s="13"/>
      <c r="J23" s="13"/>
      <c r="K23" s="13"/>
      <c r="L23" s="13"/>
      <c r="M23" s="13"/>
      <c r="N23" s="13"/>
      <c r="O23" s="13"/>
      <c r="P23" s="13"/>
      <c r="Q23" s="78"/>
      <c r="R23" s="78"/>
      <c r="S23" s="78"/>
      <c r="T23" s="77">
        <f>T8</f>
        <v>45.55</v>
      </c>
      <c r="U23" s="188">
        <f t="shared" si="4"/>
        <v>46.624077524345864</v>
      </c>
      <c r="V23" s="10">
        <f t="shared" si="3"/>
        <v>50.700538795493934</v>
      </c>
      <c r="W23" s="10">
        <f t="shared" si="3"/>
        <v>59.631536573061879</v>
      </c>
      <c r="X23" s="10">
        <f t="shared" si="3"/>
        <v>66.496190374958857</v>
      </c>
      <c r="Y23" s="10">
        <f t="shared" si="3"/>
        <v>67.635318958408391</v>
      </c>
      <c r="Z23" s="10">
        <f t="shared" si="3"/>
        <v>68.998920357627469</v>
      </c>
      <c r="AA23" s="10">
        <f t="shared" si="3"/>
        <v>70.289948217778388</v>
      </c>
      <c r="AB23" s="10">
        <f t="shared" si="3"/>
        <v>71.377356551185088</v>
      </c>
      <c r="AC23" s="10">
        <f t="shared" si="3"/>
        <v>72.485461720075008</v>
      </c>
      <c r="AD23" s="10">
        <f t="shared" si="3"/>
        <v>73.581205502646313</v>
      </c>
      <c r="AE23" s="10">
        <f t="shared" si="3"/>
        <v>74.662751120626126</v>
      </c>
      <c r="AF23" s="10">
        <f t="shared" si="3"/>
        <v>75.668980015625323</v>
      </c>
      <c r="AG23" s="10">
        <f t="shared" si="3"/>
        <v>76.628380085859092</v>
      </c>
      <c r="AH23" s="10">
        <f t="shared" si="3"/>
        <v>77.613522722985749</v>
      </c>
      <c r="AI23" s="10">
        <f t="shared" si="3"/>
        <v>78.619447162763464</v>
      </c>
      <c r="AJ23" s="10">
        <f t="shared" si="3"/>
        <v>79.567355045441289</v>
      </c>
      <c r="AK23" s="10">
        <f t="shared" si="3"/>
        <v>80.493718859779548</v>
      </c>
      <c r="AL23" s="10">
        <f t="shared" si="3"/>
        <v>81.394175813955044</v>
      </c>
      <c r="AM23" s="10">
        <f t="shared" si="3"/>
        <v>82.269611804311168</v>
      </c>
      <c r="AN23" s="10">
        <f t="shared" si="3"/>
        <v>83.076598522984028</v>
      </c>
      <c r="AO23" s="10">
        <f t="shared" si="3"/>
        <v>83.812005964697718</v>
      </c>
      <c r="AP23" s="10">
        <f t="shared" si="3"/>
        <v>84.515481654310321</v>
      </c>
      <c r="AQ23" s="10">
        <f t="shared" si="3"/>
        <v>85.143179666740835</v>
      </c>
      <c r="AR23" s="10">
        <f t="shared" si="3"/>
        <v>85.733178758850684</v>
      </c>
      <c r="AS23" s="10">
        <f t="shared" si="3"/>
        <v>86.330379655847906</v>
      </c>
      <c r="AT23" s="10">
        <f t="shared" si="3"/>
        <v>86.938074476397759</v>
      </c>
      <c r="AU23" s="10">
        <f t="shared" si="3"/>
        <v>87.552951495515629</v>
      </c>
      <c r="AV23" s="10">
        <f t="shared" si="3"/>
        <v>88.175030824550248</v>
      </c>
      <c r="AW23" s="10">
        <f t="shared" si="3"/>
        <v>88.804971183821607</v>
      </c>
      <c r="AX23" s="10">
        <f t="shared" si="3"/>
        <v>89.395656715097786</v>
      </c>
      <c r="AY23" s="10">
        <f t="shared" si="3"/>
        <v>89.994392278685169</v>
      </c>
      <c r="AZ23" s="10">
        <f t="shared" si="3"/>
        <v>90.60168944068387</v>
      </c>
      <c r="BA23" s="10">
        <f t="shared" si="3"/>
        <v>91.22186256887953</v>
      </c>
      <c r="BB23" s="10">
        <f t="shared" si="3"/>
        <v>91.897510920604461</v>
      </c>
      <c r="BC23" s="10">
        <f t="shared" si="3"/>
        <v>92.584047449531994</v>
      </c>
      <c r="BD23" s="10">
        <f t="shared" si="3"/>
        <v>93.282289600187525</v>
      </c>
      <c r="BE23" s="10">
        <f t="shared" si="3"/>
        <v>93.992350155169078</v>
      </c>
      <c r="BF23" s="10">
        <f t="shared" si="3"/>
        <v>94.761802488983108</v>
      </c>
      <c r="BG23" s="10">
        <f t="shared" si="3"/>
        <v>95.548433586775346</v>
      </c>
      <c r="BH23" s="10">
        <f t="shared" si="3"/>
        <v>96.348620498864818</v>
      </c>
      <c r="BI23" s="10">
        <f t="shared" si="3"/>
        <v>97.207582618364171</v>
      </c>
    </row>
    <row r="24" spans="1:61"/>
  </sheetData>
  <mergeCells count="2">
    <mergeCell ref="A19:A20"/>
    <mergeCell ref="A16:V1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73"/>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0" defaultRowHeight="15" zeroHeight="1" outlineLevelRow="1" outlineLevelCol="1"/>
  <cols>
    <col min="1" max="1" width="30.7109375" style="521" customWidth="1"/>
    <col min="2" max="2" width="9.140625" style="521" customWidth="1"/>
    <col min="3" max="15" width="1.7109375" style="521" hidden="1" customWidth="1" outlineLevel="1"/>
    <col min="16" max="16" width="9.140625" style="521" customWidth="1" collapsed="1"/>
    <col min="17" max="62" width="9.140625" style="521" customWidth="1"/>
    <col min="63" max="16384" width="9.140625" style="521" hidden="1"/>
  </cols>
  <sheetData>
    <row r="1" spans="1:61" ht="21">
      <c r="A1" s="4" t="s">
        <v>557</v>
      </c>
      <c r="B1" s="5"/>
      <c r="C1" s="88"/>
      <c r="D1" s="88"/>
      <c r="E1" s="88"/>
      <c r="F1" s="88"/>
      <c r="G1" s="88"/>
      <c r="H1" s="88"/>
      <c r="I1" s="88"/>
      <c r="J1" s="88"/>
      <c r="K1" s="88"/>
      <c r="L1" s="5"/>
      <c r="M1" s="88"/>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row>
    <row r="2" spans="1:61">
      <c r="A2" s="521" t="str">
        <f>Indeksacja!$A$2</f>
        <v>Dla roku bazowego 2024 właściwe do zastosowania w analizie są wartości kosztów jednostkowych określone według poziomu cenowego z końca roku poprzedniego, tzn. 2023.</v>
      </c>
    </row>
    <row r="3" spans="1:61"/>
    <row r="4" spans="1:61">
      <c r="A4" s="1" t="s">
        <v>357</v>
      </c>
    </row>
    <row r="5" spans="1:61">
      <c r="A5" s="9" t="s">
        <v>329</v>
      </c>
      <c r="B5" s="6"/>
      <c r="C5" s="6"/>
      <c r="D5" s="6"/>
      <c r="E5" s="6"/>
      <c r="F5" s="6"/>
      <c r="G5" s="6"/>
      <c r="H5" s="6"/>
      <c r="I5" s="6"/>
      <c r="J5" s="6"/>
      <c r="K5" s="6"/>
      <c r="L5" s="6"/>
      <c r="M5" s="6"/>
      <c r="N5" s="6"/>
      <c r="O5" s="6"/>
      <c r="P5" s="777" t="s">
        <v>343</v>
      </c>
      <c r="Q5" s="778"/>
      <c r="R5" s="778"/>
      <c r="S5" s="779"/>
      <c r="T5" s="777" t="s">
        <v>344</v>
      </c>
      <c r="U5" s="778"/>
      <c r="V5" s="778"/>
      <c r="W5" s="779"/>
      <c r="X5" s="777" t="s">
        <v>345</v>
      </c>
      <c r="Y5" s="778"/>
      <c r="Z5" s="778"/>
      <c r="AA5" s="779"/>
    </row>
    <row r="6" spans="1:61">
      <c r="A6" s="9" t="s">
        <v>326</v>
      </c>
      <c r="B6" s="6"/>
      <c r="C6" s="6"/>
      <c r="D6" s="6"/>
      <c r="E6" s="6"/>
      <c r="F6" s="6"/>
      <c r="G6" s="6"/>
      <c r="H6" s="6"/>
      <c r="I6" s="6"/>
      <c r="J6" s="6"/>
      <c r="K6" s="6"/>
      <c r="L6" s="6"/>
      <c r="M6" s="6"/>
      <c r="N6" s="6"/>
      <c r="O6" s="6"/>
      <c r="P6" s="777" t="s">
        <v>327</v>
      </c>
      <c r="Q6" s="779"/>
      <c r="R6" s="777" t="s">
        <v>328</v>
      </c>
      <c r="S6" s="779"/>
      <c r="T6" s="777" t="s">
        <v>327</v>
      </c>
      <c r="U6" s="779"/>
      <c r="V6" s="777" t="s">
        <v>328</v>
      </c>
      <c r="W6" s="779"/>
      <c r="X6" s="777" t="s">
        <v>327</v>
      </c>
      <c r="Y6" s="779"/>
      <c r="Z6" s="777" t="s">
        <v>328</v>
      </c>
      <c r="AA6" s="779"/>
    </row>
    <row r="7" spans="1:61">
      <c r="A7" s="8" t="s">
        <v>358</v>
      </c>
      <c r="B7" s="524" t="s">
        <v>359</v>
      </c>
      <c r="C7" s="75"/>
      <c r="D7" s="75"/>
      <c r="E7" s="75"/>
      <c r="F7" s="75"/>
      <c r="G7" s="75"/>
      <c r="H7" s="75"/>
      <c r="I7" s="75"/>
      <c r="J7" s="75"/>
      <c r="K7" s="75"/>
      <c r="L7" s="75"/>
      <c r="M7" s="75"/>
      <c r="N7" s="75"/>
      <c r="O7" s="75"/>
      <c r="P7" s="775">
        <v>18</v>
      </c>
      <c r="Q7" s="776"/>
      <c r="R7" s="775">
        <v>18</v>
      </c>
      <c r="S7" s="776"/>
      <c r="T7" s="775">
        <v>18</v>
      </c>
      <c r="U7" s="776"/>
      <c r="V7" s="775">
        <v>18</v>
      </c>
      <c r="W7" s="776"/>
      <c r="X7" s="775">
        <v>20</v>
      </c>
      <c r="Y7" s="776"/>
      <c r="Z7" s="775">
        <v>20</v>
      </c>
      <c r="AA7" s="776"/>
    </row>
    <row r="8" spans="1:61">
      <c r="A8" s="8" t="s">
        <v>364</v>
      </c>
      <c r="B8" s="524" t="s">
        <v>360</v>
      </c>
      <c r="C8" s="75"/>
      <c r="D8" s="75"/>
      <c r="E8" s="75"/>
      <c r="F8" s="75"/>
      <c r="G8" s="75"/>
      <c r="H8" s="75"/>
      <c r="I8" s="75"/>
      <c r="J8" s="75"/>
      <c r="K8" s="75"/>
      <c r="L8" s="75"/>
      <c r="M8" s="75"/>
      <c r="N8" s="75"/>
      <c r="O8" s="75"/>
      <c r="P8" s="775">
        <v>1705</v>
      </c>
      <c r="Q8" s="776"/>
      <c r="R8" s="775">
        <v>1733</v>
      </c>
      <c r="S8" s="776"/>
      <c r="T8" s="775">
        <v>1705</v>
      </c>
      <c r="U8" s="776"/>
      <c r="V8" s="775">
        <v>1733</v>
      </c>
      <c r="W8" s="776"/>
      <c r="X8" s="775">
        <v>1385</v>
      </c>
      <c r="Y8" s="776"/>
      <c r="Z8" s="775">
        <v>1413</v>
      </c>
      <c r="AA8" s="776"/>
    </row>
    <row r="9" spans="1:61" ht="15" customHeight="1">
      <c r="A9" s="8" t="s">
        <v>363</v>
      </c>
      <c r="B9" s="524" t="s">
        <v>360</v>
      </c>
      <c r="C9" s="75"/>
      <c r="D9" s="75"/>
      <c r="E9" s="75"/>
      <c r="F9" s="75"/>
      <c r="G9" s="75"/>
      <c r="H9" s="75"/>
      <c r="I9" s="75"/>
      <c r="J9" s="75"/>
      <c r="K9" s="75"/>
      <c r="L9" s="75"/>
      <c r="M9" s="75"/>
      <c r="N9" s="75"/>
      <c r="O9" s="75"/>
      <c r="P9" s="775">
        <v>1143</v>
      </c>
      <c r="Q9" s="776"/>
      <c r="R9" s="775">
        <v>1143</v>
      </c>
      <c r="S9" s="776"/>
      <c r="T9" s="775">
        <v>1143</v>
      </c>
      <c r="U9" s="776"/>
      <c r="V9" s="775">
        <v>1143</v>
      </c>
      <c r="W9" s="776"/>
      <c r="X9" s="775">
        <v>750</v>
      </c>
      <c r="Y9" s="776"/>
      <c r="Z9" s="775">
        <v>750</v>
      </c>
      <c r="AA9" s="776"/>
    </row>
    <row r="10" spans="1:61">
      <c r="A10" s="8" t="s">
        <v>362</v>
      </c>
      <c r="B10" s="524" t="s">
        <v>361</v>
      </c>
      <c r="C10" s="75"/>
      <c r="D10" s="75"/>
      <c r="E10" s="75"/>
      <c r="F10" s="75"/>
      <c r="G10" s="75"/>
      <c r="H10" s="75"/>
      <c r="I10" s="75"/>
      <c r="J10" s="75"/>
      <c r="K10" s="75"/>
      <c r="L10" s="75"/>
      <c r="M10" s="75"/>
      <c r="N10" s="75"/>
      <c r="O10" s="75"/>
      <c r="P10" s="763">
        <f>P9/P7</f>
        <v>63.5</v>
      </c>
      <c r="Q10" s="764"/>
      <c r="R10" s="763">
        <f>R9/R7</f>
        <v>63.5</v>
      </c>
      <c r="S10" s="764"/>
      <c r="T10" s="763">
        <f>T9/T7</f>
        <v>63.5</v>
      </c>
      <c r="U10" s="764"/>
      <c r="V10" s="763">
        <f>V9/V7</f>
        <v>63.5</v>
      </c>
      <c r="W10" s="764"/>
      <c r="X10" s="763">
        <f>X9/X7</f>
        <v>37.5</v>
      </c>
      <c r="Y10" s="764"/>
      <c r="Z10" s="763">
        <f>Z9/Z7</f>
        <v>37.5</v>
      </c>
      <c r="AA10" s="764"/>
    </row>
    <row r="11" spans="1:61">
      <c r="A11" s="35" t="s">
        <v>365</v>
      </c>
    </row>
    <row r="12" spans="1:61" hidden="1" outlineLevel="1"/>
    <row r="13" spans="1:61" hidden="1" outlineLevel="1">
      <c r="A13" s="1" t="s">
        <v>559</v>
      </c>
    </row>
    <row r="14" spans="1:61" hidden="1" outlineLevel="1">
      <c r="A14" s="521" t="s">
        <v>558</v>
      </c>
    </row>
    <row r="15" spans="1:61" hidden="1" outlineLevel="1">
      <c r="A15" s="9" t="s">
        <v>329</v>
      </c>
      <c r="B15" s="6"/>
      <c r="C15" s="6"/>
      <c r="D15" s="6"/>
      <c r="E15" s="6"/>
      <c r="F15" s="6"/>
      <c r="G15" s="6"/>
      <c r="H15" s="6"/>
      <c r="I15" s="6"/>
      <c r="J15" s="6"/>
      <c r="K15" s="6"/>
      <c r="L15" s="6"/>
      <c r="M15" s="6"/>
      <c r="N15" s="6"/>
      <c r="O15" s="6"/>
      <c r="P15" s="777" t="s">
        <v>343</v>
      </c>
      <c r="Q15" s="778"/>
      <c r="R15" s="778"/>
      <c r="S15" s="779"/>
      <c r="T15" s="777" t="s">
        <v>344</v>
      </c>
      <c r="U15" s="778"/>
      <c r="V15" s="778"/>
      <c r="W15" s="779"/>
      <c r="X15" s="777" t="s">
        <v>345</v>
      </c>
      <c r="Y15" s="778"/>
      <c r="Z15" s="778"/>
      <c r="AA15" s="779"/>
    </row>
    <row r="16" spans="1:61" hidden="1" outlineLevel="1">
      <c r="A16" s="9" t="s">
        <v>326</v>
      </c>
      <c r="B16" s="6"/>
      <c r="C16" s="6"/>
      <c r="D16" s="6"/>
      <c r="E16" s="6"/>
      <c r="F16" s="6"/>
      <c r="G16" s="6"/>
      <c r="H16" s="6"/>
      <c r="I16" s="6"/>
      <c r="J16" s="6"/>
      <c r="K16" s="6"/>
      <c r="L16" s="6"/>
      <c r="M16" s="6"/>
      <c r="N16" s="6"/>
      <c r="O16" s="6"/>
      <c r="P16" s="777" t="s">
        <v>327</v>
      </c>
      <c r="Q16" s="779"/>
      <c r="R16" s="777" t="s">
        <v>328</v>
      </c>
      <c r="S16" s="779"/>
      <c r="T16" s="777" t="s">
        <v>327</v>
      </c>
      <c r="U16" s="779"/>
      <c r="V16" s="777" t="s">
        <v>328</v>
      </c>
      <c r="W16" s="779"/>
      <c r="X16" s="777" t="s">
        <v>327</v>
      </c>
      <c r="Y16" s="779"/>
      <c r="Z16" s="777" t="s">
        <v>328</v>
      </c>
      <c r="AA16" s="779"/>
    </row>
    <row r="17" spans="1:27" hidden="1" outlineLevel="1">
      <c r="A17" s="8" t="s">
        <v>62</v>
      </c>
      <c r="B17" s="75"/>
      <c r="C17" s="75"/>
      <c r="D17" s="75"/>
      <c r="E17" s="75"/>
      <c r="F17" s="75"/>
      <c r="G17" s="75"/>
      <c r="H17" s="75"/>
      <c r="I17" s="75"/>
      <c r="J17" s="75"/>
      <c r="K17" s="75"/>
      <c r="L17" s="75"/>
      <c r="M17" s="75"/>
      <c r="N17" s="75"/>
      <c r="O17" s="75"/>
      <c r="P17" s="763">
        <v>354.39</v>
      </c>
      <c r="Q17" s="764"/>
      <c r="R17" s="763">
        <v>375.22</v>
      </c>
      <c r="S17" s="764"/>
      <c r="T17" s="763">
        <v>392.39</v>
      </c>
      <c r="U17" s="764"/>
      <c r="V17" s="763">
        <v>424.09</v>
      </c>
      <c r="W17" s="764"/>
      <c r="X17" s="763">
        <v>327.52999999999997</v>
      </c>
      <c r="Y17" s="764"/>
      <c r="Z17" s="763">
        <v>350.66</v>
      </c>
      <c r="AA17" s="764"/>
    </row>
    <row r="18" spans="1:27" hidden="1" outlineLevel="1">
      <c r="A18" s="35" t="s">
        <v>560</v>
      </c>
    </row>
    <row r="19" spans="1:27" hidden="1" outlineLevel="1">
      <c r="A19" s="754" t="s">
        <v>561</v>
      </c>
      <c r="B19" s="754"/>
      <c r="C19" s="754"/>
      <c r="D19" s="754"/>
      <c r="E19" s="754"/>
      <c r="F19" s="754"/>
      <c r="G19" s="754"/>
      <c r="H19" s="754"/>
      <c r="I19" s="754"/>
      <c r="J19" s="754"/>
      <c r="K19" s="754"/>
      <c r="L19" s="754"/>
      <c r="M19" s="754"/>
      <c r="N19" s="754"/>
      <c r="O19" s="754"/>
      <c r="P19" s="754"/>
      <c r="Q19" s="754"/>
      <c r="R19" s="754"/>
      <c r="S19" s="754"/>
      <c r="T19" s="754"/>
      <c r="U19" s="754"/>
      <c r="V19" s="754"/>
      <c r="W19" s="754"/>
      <c r="X19" s="754"/>
      <c r="Y19" s="754"/>
      <c r="Z19" s="754"/>
      <c r="AA19" s="754"/>
    </row>
    <row r="20" spans="1:27" s="592" customFormat="1" hidden="1" outlineLevel="1">
      <c r="A20" s="754"/>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row>
    <row r="21" spans="1:27" hidden="1" outlineLevel="1">
      <c r="A21" s="521" t="s">
        <v>562</v>
      </c>
    </row>
    <row r="22" spans="1:27" hidden="1" outlineLevel="1"/>
    <row r="23" spans="1:27" hidden="1" outlineLevel="1">
      <c r="A23" s="1" t="s">
        <v>563</v>
      </c>
    </row>
    <row r="24" spans="1:27" hidden="1" outlineLevel="1">
      <c r="A24" s="521" t="s">
        <v>337</v>
      </c>
    </row>
    <row r="25" spans="1:27" hidden="1" outlineLevel="1">
      <c r="A25" s="783"/>
      <c r="B25" s="786"/>
      <c r="C25" s="6"/>
      <c r="D25" s="6"/>
      <c r="E25" s="6"/>
      <c r="F25" s="6"/>
      <c r="G25" s="6"/>
      <c r="H25" s="6"/>
      <c r="I25" s="6"/>
      <c r="J25" s="6"/>
      <c r="K25" s="6"/>
      <c r="L25" s="6"/>
      <c r="M25" s="6"/>
      <c r="N25" s="6"/>
      <c r="O25" s="6"/>
      <c r="P25" s="780" t="s">
        <v>330</v>
      </c>
      <c r="Q25" s="781"/>
      <c r="R25" s="781"/>
      <c r="S25" s="782"/>
      <c r="T25" s="780" t="s">
        <v>332</v>
      </c>
      <c r="U25" s="781"/>
      <c r="V25" s="781"/>
      <c r="W25" s="782"/>
      <c r="X25" s="780" t="s">
        <v>333</v>
      </c>
      <c r="Y25" s="781"/>
      <c r="Z25" s="781"/>
      <c r="AA25" s="782"/>
    </row>
    <row r="26" spans="1:27" hidden="1" outlineLevel="1">
      <c r="A26" s="784"/>
      <c r="B26" s="787"/>
      <c r="C26" s="6"/>
      <c r="D26" s="6"/>
      <c r="E26" s="6"/>
      <c r="F26" s="6"/>
      <c r="G26" s="6"/>
      <c r="H26" s="6"/>
      <c r="I26" s="6"/>
      <c r="J26" s="6"/>
      <c r="K26" s="6"/>
      <c r="L26" s="6"/>
      <c r="M26" s="6"/>
      <c r="N26" s="6"/>
      <c r="O26" s="6"/>
      <c r="P26" s="765" t="s">
        <v>338</v>
      </c>
      <c r="Q26" s="766"/>
      <c r="R26" s="766"/>
      <c r="S26" s="767"/>
      <c r="T26" s="765" t="s">
        <v>339</v>
      </c>
      <c r="U26" s="766"/>
      <c r="V26" s="766"/>
      <c r="W26" s="767"/>
      <c r="X26" s="765" t="s">
        <v>340</v>
      </c>
      <c r="Y26" s="766"/>
      <c r="Z26" s="766"/>
      <c r="AA26" s="767"/>
    </row>
    <row r="27" spans="1:27" hidden="1" outlineLevel="1">
      <c r="A27" s="785"/>
      <c r="B27" s="788"/>
      <c r="C27" s="6"/>
      <c r="D27" s="6"/>
      <c r="E27" s="6"/>
      <c r="F27" s="6"/>
      <c r="G27" s="6"/>
      <c r="H27" s="6"/>
      <c r="I27" s="6"/>
      <c r="J27" s="6"/>
      <c r="K27" s="6"/>
      <c r="L27" s="6"/>
      <c r="M27" s="6"/>
      <c r="N27" s="6"/>
      <c r="O27" s="6"/>
      <c r="P27" s="768" t="s">
        <v>331</v>
      </c>
      <c r="Q27" s="769"/>
      <c r="R27" s="769"/>
      <c r="S27" s="770"/>
      <c r="T27" s="768" t="s">
        <v>336</v>
      </c>
      <c r="U27" s="769"/>
      <c r="V27" s="769"/>
      <c r="W27" s="770"/>
      <c r="X27" s="768" t="s">
        <v>334</v>
      </c>
      <c r="Y27" s="769"/>
      <c r="Z27" s="769"/>
      <c r="AA27" s="770"/>
    </row>
    <row r="28" spans="1:27" hidden="1" outlineLevel="1">
      <c r="A28" s="8" t="s">
        <v>191</v>
      </c>
      <c r="B28" s="75"/>
      <c r="C28" s="75"/>
      <c r="D28" s="75"/>
      <c r="E28" s="75"/>
      <c r="F28" s="75"/>
      <c r="G28" s="75"/>
      <c r="H28" s="75"/>
      <c r="I28" s="75"/>
      <c r="J28" s="75"/>
      <c r="K28" s="75"/>
      <c r="L28" s="75"/>
      <c r="M28" s="75"/>
      <c r="N28" s="75"/>
      <c r="O28" s="75"/>
      <c r="P28" s="771">
        <v>0</v>
      </c>
      <c r="Q28" s="772"/>
      <c r="R28" s="772"/>
      <c r="S28" s="773"/>
      <c r="T28" s="771">
        <v>0.2</v>
      </c>
      <c r="U28" s="772"/>
      <c r="V28" s="772"/>
      <c r="W28" s="773"/>
      <c r="X28" s="771">
        <v>0.6</v>
      </c>
      <c r="Y28" s="772"/>
      <c r="Z28" s="772"/>
      <c r="AA28" s="773"/>
    </row>
    <row r="29" spans="1:27" hidden="1" outlineLevel="1">
      <c r="A29" s="762" t="s">
        <v>564</v>
      </c>
      <c r="B29" s="762"/>
      <c r="C29" s="762"/>
      <c r="D29" s="762"/>
      <c r="E29" s="762"/>
      <c r="F29" s="762"/>
      <c r="G29" s="762"/>
      <c r="H29" s="762"/>
      <c r="I29" s="762"/>
      <c r="J29" s="762"/>
      <c r="K29" s="762"/>
      <c r="L29" s="762"/>
      <c r="M29" s="762"/>
      <c r="N29" s="762"/>
      <c r="O29" s="762"/>
      <c r="P29" s="762"/>
      <c r="Q29" s="762"/>
      <c r="R29" s="762"/>
      <c r="S29" s="762"/>
      <c r="T29" s="762"/>
      <c r="U29" s="762"/>
      <c r="V29" s="762"/>
      <c r="W29" s="762"/>
      <c r="X29" s="762"/>
      <c r="Y29" s="762"/>
      <c r="Z29" s="762"/>
      <c r="AA29" s="762"/>
    </row>
    <row r="30" spans="1:27" s="592" customFormat="1" hidden="1" outlineLevel="1">
      <c r="A30" s="754"/>
      <c r="B30" s="754"/>
      <c r="C30" s="754"/>
      <c r="D30" s="754"/>
      <c r="E30" s="754"/>
      <c r="F30" s="754"/>
      <c r="G30" s="754"/>
      <c r="H30" s="754"/>
      <c r="I30" s="754"/>
      <c r="J30" s="754"/>
      <c r="K30" s="754"/>
      <c r="L30" s="754"/>
      <c r="M30" s="754"/>
      <c r="N30" s="754"/>
      <c r="O30" s="754"/>
      <c r="P30" s="754"/>
      <c r="Q30" s="754"/>
      <c r="R30" s="754"/>
      <c r="S30" s="754"/>
      <c r="T30" s="754"/>
      <c r="U30" s="754"/>
      <c r="V30" s="754"/>
      <c r="W30" s="754"/>
      <c r="X30" s="754"/>
      <c r="Y30" s="754"/>
      <c r="Z30" s="754"/>
      <c r="AA30" s="754"/>
    </row>
    <row r="31" spans="1:27" hidden="1" outlineLevel="1">
      <c r="A31" s="35" t="s">
        <v>560</v>
      </c>
    </row>
    <row r="32" spans="1:27" hidden="1" outlineLevel="1"/>
    <row r="33" spans="1:61" hidden="1" outlineLevel="1">
      <c r="A33" s="9" t="s">
        <v>2</v>
      </c>
      <c r="B33" s="6"/>
      <c r="C33" s="6"/>
      <c r="D33" s="6"/>
      <c r="E33" s="6"/>
      <c r="F33" s="6"/>
      <c r="G33" s="6"/>
      <c r="H33" s="6"/>
      <c r="I33" s="6"/>
      <c r="J33" s="6"/>
      <c r="K33" s="6"/>
      <c r="L33" s="6"/>
      <c r="M33" s="6"/>
      <c r="N33" s="6"/>
      <c r="O33" s="6"/>
      <c r="P33" s="6"/>
      <c r="Q33" s="6">
        <v>2010</v>
      </c>
    </row>
    <row r="34" spans="1:61" hidden="1" outlineLevel="1">
      <c r="A34" s="8" t="s">
        <v>3</v>
      </c>
      <c r="B34" s="12"/>
      <c r="C34" s="12"/>
      <c r="D34" s="12"/>
      <c r="E34" s="12"/>
      <c r="F34" s="12"/>
      <c r="G34" s="12"/>
      <c r="H34" s="12"/>
      <c r="I34" s="12"/>
      <c r="J34" s="12"/>
      <c r="K34" s="12"/>
      <c r="L34" s="12"/>
      <c r="M34" s="12"/>
      <c r="N34" s="12"/>
      <c r="O34" s="12"/>
      <c r="P34" s="12"/>
      <c r="Q34" s="11">
        <f>Indeksacja!$K$41</f>
        <v>3.9946999999999999</v>
      </c>
    </row>
    <row r="35" spans="1:61" hidden="1" outlineLevel="1">
      <c r="A35" s="35" t="str">
        <f>Indeksacja!$A$42</f>
        <v>Źródło: ECB, http://sdw.ecb.europa.eu/quickview.do?SERIES_KEY=120.EXR.A.PLN.EUR.SP00.A</v>
      </c>
    </row>
    <row r="36" spans="1:61" hidden="1" outlineLevel="1"/>
    <row r="37" spans="1:61" ht="30" hidden="1" outlineLevel="1">
      <c r="A37" s="131" t="s">
        <v>565</v>
      </c>
      <c r="B37" s="6"/>
      <c r="C37" s="6"/>
      <c r="D37" s="6"/>
      <c r="E37" s="6"/>
      <c r="F37" s="6"/>
      <c r="G37" s="6"/>
      <c r="H37" s="6"/>
      <c r="I37" s="6"/>
      <c r="J37" s="6"/>
      <c r="K37" s="6"/>
      <c r="L37" s="6"/>
      <c r="M37" s="6"/>
      <c r="N37" s="6"/>
      <c r="O37" s="6"/>
      <c r="P37" s="6"/>
      <c r="Q37" s="6">
        <v>2010</v>
      </c>
    </row>
    <row r="38" spans="1:61" hidden="1" outlineLevel="1">
      <c r="A38" s="8" t="s">
        <v>62</v>
      </c>
      <c r="B38" s="484"/>
      <c r="C38" s="484"/>
      <c r="D38" s="484"/>
      <c r="E38" s="484"/>
      <c r="F38" s="484"/>
      <c r="G38" s="484"/>
      <c r="H38" s="484"/>
      <c r="I38" s="484"/>
      <c r="J38" s="484"/>
      <c r="K38" s="484"/>
      <c r="L38" s="484"/>
      <c r="M38" s="484"/>
      <c r="N38" s="484"/>
      <c r="O38" s="484"/>
      <c r="P38" s="484"/>
      <c r="Q38" s="470">
        <f>Indeksacja!$K$44</f>
        <v>62.4</v>
      </c>
    </row>
    <row r="39" spans="1:61" hidden="1" outlineLevel="1">
      <c r="A39" s="35" t="str">
        <f>Indeksacja!$A$45</f>
        <v>Źródło: Eurostat, https://ec.europa.eu/eurostat/data/database Main GDP aggregates per capita [nama_10_pc] (aktualizacja 28.01.2022)</v>
      </c>
    </row>
    <row r="40" spans="1:61" hidden="1" outlineLevel="1"/>
    <row r="41" spans="1:61" s="592" customFormat="1" hidden="1" outlineLevel="1">
      <c r="A41" s="774" t="s">
        <v>566</v>
      </c>
      <c r="B41" s="774"/>
      <c r="C41" s="774"/>
      <c r="D41" s="774"/>
      <c r="E41" s="774"/>
      <c r="F41" s="774"/>
      <c r="G41" s="774"/>
      <c r="H41" s="774"/>
      <c r="I41" s="774"/>
      <c r="J41" s="774"/>
      <c r="K41" s="774"/>
      <c r="L41" s="774"/>
      <c r="M41" s="774"/>
      <c r="N41" s="774"/>
      <c r="O41" s="774"/>
      <c r="P41" s="774"/>
      <c r="Q41" s="774"/>
      <c r="R41" s="774"/>
      <c r="S41" s="774"/>
      <c r="T41" s="774"/>
      <c r="U41" s="774"/>
      <c r="V41" s="774"/>
    </row>
    <row r="42" spans="1:61" s="672" customFormat="1" hidden="1" outlineLevel="1">
      <c r="A42" s="774"/>
      <c r="B42" s="774"/>
      <c r="C42" s="774"/>
      <c r="D42" s="774"/>
      <c r="E42" s="774"/>
      <c r="F42" s="774"/>
      <c r="G42" s="774"/>
      <c r="H42" s="774"/>
      <c r="I42" s="774"/>
      <c r="J42" s="774"/>
      <c r="K42" s="774"/>
      <c r="L42" s="774"/>
      <c r="M42" s="774"/>
      <c r="N42" s="774"/>
      <c r="O42" s="774"/>
      <c r="P42" s="774"/>
      <c r="Q42" s="774"/>
      <c r="R42" s="774"/>
      <c r="S42" s="774"/>
      <c r="T42" s="774"/>
      <c r="U42" s="774"/>
      <c r="V42" s="774"/>
    </row>
    <row r="43" spans="1:61" s="592" customFormat="1" hidden="1" outlineLevel="1">
      <c r="A43" s="517" t="s">
        <v>511</v>
      </c>
    </row>
    <row r="44" spans="1:61" s="592" customFormat="1" collapsed="1"/>
    <row r="45" spans="1:61">
      <c r="A45" s="9" t="s">
        <v>293</v>
      </c>
      <c r="B45" s="6"/>
      <c r="C45" s="6"/>
      <c r="D45" s="6"/>
      <c r="E45" s="6"/>
      <c r="F45" s="6"/>
      <c r="G45" s="6"/>
      <c r="H45" s="6"/>
      <c r="I45" s="6"/>
      <c r="J45" s="6"/>
      <c r="K45" s="6"/>
      <c r="L45" s="6"/>
      <c r="M45" s="6"/>
      <c r="N45" s="6"/>
      <c r="O45" s="6"/>
      <c r="P45" s="6"/>
      <c r="Q45" s="6"/>
      <c r="R45" s="183"/>
      <c r="S45" s="504" t="s">
        <v>512</v>
      </c>
      <c r="T45" s="523">
        <v>2019</v>
      </c>
      <c r="U45" s="6">
        <f t="shared" ref="U45:BI45" si="0">T45+1</f>
        <v>2020</v>
      </c>
      <c r="V45" s="6">
        <f t="shared" si="0"/>
        <v>2021</v>
      </c>
      <c r="W45" s="6">
        <f t="shared" si="0"/>
        <v>2022</v>
      </c>
      <c r="X45" s="6">
        <f t="shared" si="0"/>
        <v>2023</v>
      </c>
      <c r="Y45" s="6">
        <f t="shared" si="0"/>
        <v>2024</v>
      </c>
      <c r="Z45" s="6">
        <f t="shared" si="0"/>
        <v>2025</v>
      </c>
      <c r="AA45" s="6">
        <f t="shared" si="0"/>
        <v>2026</v>
      </c>
      <c r="AB45" s="6">
        <f t="shared" si="0"/>
        <v>2027</v>
      </c>
      <c r="AC45" s="6">
        <f t="shared" si="0"/>
        <v>2028</v>
      </c>
      <c r="AD45" s="6">
        <f t="shared" si="0"/>
        <v>2029</v>
      </c>
      <c r="AE45" s="6">
        <f t="shared" si="0"/>
        <v>2030</v>
      </c>
      <c r="AF45" s="6">
        <f t="shared" si="0"/>
        <v>2031</v>
      </c>
      <c r="AG45" s="6">
        <f t="shared" si="0"/>
        <v>2032</v>
      </c>
      <c r="AH45" s="6">
        <f t="shared" si="0"/>
        <v>2033</v>
      </c>
      <c r="AI45" s="6">
        <f t="shared" si="0"/>
        <v>2034</v>
      </c>
      <c r="AJ45" s="6">
        <f t="shared" si="0"/>
        <v>2035</v>
      </c>
      <c r="AK45" s="6">
        <f t="shared" si="0"/>
        <v>2036</v>
      </c>
      <c r="AL45" s="6">
        <f t="shared" si="0"/>
        <v>2037</v>
      </c>
      <c r="AM45" s="6">
        <f t="shared" si="0"/>
        <v>2038</v>
      </c>
      <c r="AN45" s="6">
        <f t="shared" si="0"/>
        <v>2039</v>
      </c>
      <c r="AO45" s="6">
        <f t="shared" si="0"/>
        <v>2040</v>
      </c>
      <c r="AP45" s="6">
        <f t="shared" si="0"/>
        <v>2041</v>
      </c>
      <c r="AQ45" s="6">
        <f t="shared" si="0"/>
        <v>2042</v>
      </c>
      <c r="AR45" s="6">
        <f t="shared" si="0"/>
        <v>2043</v>
      </c>
      <c r="AS45" s="6">
        <f t="shared" si="0"/>
        <v>2044</v>
      </c>
      <c r="AT45" s="6">
        <f t="shared" si="0"/>
        <v>2045</v>
      </c>
      <c r="AU45" s="6">
        <f t="shared" si="0"/>
        <v>2046</v>
      </c>
      <c r="AV45" s="6">
        <f t="shared" si="0"/>
        <v>2047</v>
      </c>
      <c r="AW45" s="6">
        <f t="shared" si="0"/>
        <v>2048</v>
      </c>
      <c r="AX45" s="6">
        <f t="shared" si="0"/>
        <v>2049</v>
      </c>
      <c r="AY45" s="6">
        <f t="shared" si="0"/>
        <v>2050</v>
      </c>
      <c r="AZ45" s="6">
        <f t="shared" si="0"/>
        <v>2051</v>
      </c>
      <c r="BA45" s="6">
        <f t="shared" si="0"/>
        <v>2052</v>
      </c>
      <c r="BB45" s="6">
        <f t="shared" si="0"/>
        <v>2053</v>
      </c>
      <c r="BC45" s="6">
        <f t="shared" si="0"/>
        <v>2054</v>
      </c>
      <c r="BD45" s="6">
        <f t="shared" si="0"/>
        <v>2055</v>
      </c>
      <c r="BE45" s="6">
        <f t="shared" si="0"/>
        <v>2056</v>
      </c>
      <c r="BF45" s="6">
        <f t="shared" si="0"/>
        <v>2057</v>
      </c>
      <c r="BG45" s="6">
        <f t="shared" si="0"/>
        <v>2058</v>
      </c>
      <c r="BH45" s="6">
        <f t="shared" si="0"/>
        <v>2059</v>
      </c>
      <c r="BI45" s="6">
        <f t="shared" si="0"/>
        <v>2060</v>
      </c>
    </row>
    <row r="46" spans="1:61">
      <c r="A46" s="8" t="s">
        <v>325</v>
      </c>
      <c r="B46" s="13"/>
      <c r="C46" s="13"/>
      <c r="D46" s="13"/>
      <c r="E46" s="13"/>
      <c r="F46" s="13"/>
      <c r="G46" s="13"/>
      <c r="H46" s="13"/>
      <c r="I46" s="13"/>
      <c r="J46" s="13"/>
      <c r="K46" s="13"/>
      <c r="L46" s="13"/>
      <c r="M46" s="13"/>
      <c r="N46" s="13"/>
      <c r="O46" s="13"/>
      <c r="P46" s="13"/>
      <c r="Q46" s="13"/>
      <c r="R46" s="13"/>
      <c r="S46" s="185">
        <f>Indeksacja!L$56*Indeksacja!M$56*Indeksacja!N$56*Indeksacja!O$56*Indeksacja!P$56*Indeksacja!Q$56*Indeksacja!R$56*Indeksacja!S$56</f>
        <v>1.2897384011168778</v>
      </c>
      <c r="T46" s="188">
        <f>Indeksacja!T$56</f>
        <v>1.0460345910451609</v>
      </c>
      <c r="U46" s="10">
        <f>Indeksacja!U$56</f>
        <v>1.0235801871426096</v>
      </c>
      <c r="V46" s="10">
        <f>Indeksacja!V$56</f>
        <v>1.0874325345958737</v>
      </c>
      <c r="W46" s="10">
        <f>Indeksacja!W$56</f>
        <v>1.1761519303294208</v>
      </c>
      <c r="X46" s="10">
        <f>Indeksacja!X$56</f>
        <v>1.1151178419406693</v>
      </c>
      <c r="Y46" s="10">
        <f>Indeksacja!Y$56</f>
        <v>1.0171307345131535</v>
      </c>
      <c r="Z46" s="10">
        <f>Indeksacja!Z$56</f>
        <v>1.020161084773735</v>
      </c>
      <c r="AA46" s="10">
        <f>Indeksacja!AA$56</f>
        <v>1.0187108414662056</v>
      </c>
      <c r="AB46" s="10">
        <f>Indeksacja!AB$56</f>
        <v>1.0154703248612105</v>
      </c>
      <c r="AC46" s="10">
        <f>Indeksacja!AC$56</f>
        <v>1.015524603633861</v>
      </c>
      <c r="AD46" s="10">
        <f>Indeksacja!AD$56</f>
        <v>1.0151167386751685</v>
      </c>
      <c r="AE46" s="10">
        <f>Indeksacja!AE$56</f>
        <v>1.0146986667395781</v>
      </c>
      <c r="AF46" s="10">
        <f>Indeksacja!AF$56</f>
        <v>1.0134769865816158</v>
      </c>
      <c r="AG46" s="10">
        <f>Indeksacja!AG$56</f>
        <v>1.012678908451464</v>
      </c>
      <c r="AH46" s="10">
        <f>Indeksacja!AH$56</f>
        <v>1.0128561067847557</v>
      </c>
      <c r="AI46" s="10">
        <f>Indeksacja!AI$56</f>
        <v>1.012960685258006</v>
      </c>
      <c r="AJ46" s="10">
        <f>Indeksacja!AJ$56</f>
        <v>1.0120569136121678</v>
      </c>
      <c r="AK46" s="10">
        <f>Indeksacja!AK$56</f>
        <v>1.0116425111003025</v>
      </c>
      <c r="AL46" s="10">
        <f>Indeksacja!AL$56</f>
        <v>1.0111866735309385</v>
      </c>
      <c r="AM46" s="10">
        <f>Indeksacja!AM$56</f>
        <v>1.0107555114552316</v>
      </c>
      <c r="AN46" s="10">
        <f>Indeksacja!AN$56</f>
        <v>1.0098090497934082</v>
      </c>
      <c r="AO46" s="10">
        <f>Indeksacja!AO$56</f>
        <v>1.0088521611956733</v>
      </c>
      <c r="AP46" s="10">
        <f>Indeksacja!AP$56</f>
        <v>1.0083934954367864</v>
      </c>
      <c r="AQ46" s="10">
        <f>Indeksacja!AQ$56</f>
        <v>1.0074270181053686</v>
      </c>
      <c r="AR46" s="10">
        <f>Indeksacja!AR$56</f>
        <v>1.0069294932890593</v>
      </c>
      <c r="AS46" s="10">
        <f>Indeksacja!AS$56</f>
        <v>1.0069658084028008</v>
      </c>
      <c r="AT46" s="10">
        <f>Indeksacja!AT$56</f>
        <v>1.0070391769730702</v>
      </c>
      <c r="AU46" s="10">
        <f>Indeksacja!AU$56</f>
        <v>1.0070725861231813</v>
      </c>
      <c r="AV46" s="10">
        <f>Indeksacja!AV$56</f>
        <v>1.0071051782767881</v>
      </c>
      <c r="AW46" s="10">
        <f>Indeksacja!AW$56</f>
        <v>1.0071442034483074</v>
      </c>
      <c r="AX46" s="10">
        <f>Indeksacja!AX$56</f>
        <v>1.0066514917284697</v>
      </c>
      <c r="AY46" s="10">
        <f>Indeksacja!AY$56</f>
        <v>1.0066975911983682</v>
      </c>
      <c r="AZ46" s="10">
        <f>Indeksacja!AZ$56</f>
        <v>1.0067481667092999</v>
      </c>
      <c r="BA46" s="10">
        <f>Indeksacja!BA$56</f>
        <v>1.0068450503740516</v>
      </c>
      <c r="BB46" s="10">
        <f>Indeksacja!BB$56</f>
        <v>1.0074066493787579</v>
      </c>
      <c r="BC46" s="10">
        <f>Indeksacja!BC$56</f>
        <v>1.007470675996009</v>
      </c>
      <c r="BD46" s="10">
        <f>Indeksacja!BD$56</f>
        <v>1.0075417112330949</v>
      </c>
      <c r="BE46" s="10">
        <f>Indeksacja!BE$56</f>
        <v>1.0076119546167328</v>
      </c>
      <c r="BF46" s="10">
        <f>Indeksacja!BF$56</f>
        <v>1.0081863293400342</v>
      </c>
      <c r="BG46" s="10">
        <f>Indeksacja!BG$56</f>
        <v>1.0083011411468634</v>
      </c>
      <c r="BH46" s="10">
        <f>Indeksacja!BH$56</f>
        <v>1.0083746732630918</v>
      </c>
      <c r="BI46" s="10">
        <f>Indeksacja!BI$56</f>
        <v>1.0089151470467548</v>
      </c>
    </row>
    <row r="47" spans="1:61">
      <c r="A47" s="521" t="s">
        <v>567</v>
      </c>
    </row>
    <row r="48" spans="1:61" s="592" customFormat="1"/>
    <row r="49" spans="1:61"/>
    <row r="50" spans="1:61">
      <c r="A50" s="759" t="s">
        <v>902</v>
      </c>
      <c r="B50" s="759"/>
      <c r="C50" s="759"/>
      <c r="D50" s="759"/>
      <c r="E50" s="759"/>
      <c r="F50" s="759"/>
      <c r="G50" s="759"/>
      <c r="H50" s="759"/>
      <c r="I50" s="759"/>
      <c r="J50" s="759"/>
      <c r="K50" s="759"/>
      <c r="L50" s="759"/>
      <c r="M50" s="759"/>
      <c r="N50" s="759"/>
      <c r="O50" s="759"/>
      <c r="P50" s="759"/>
      <c r="Q50" s="759"/>
      <c r="R50" s="759"/>
      <c r="S50" s="759"/>
      <c r="T50" s="759"/>
      <c r="U50" s="759"/>
      <c r="V50" s="759"/>
    </row>
    <row r="51" spans="1:61" s="592" customFormat="1">
      <c r="A51" s="759"/>
      <c r="B51" s="759"/>
      <c r="C51" s="759"/>
      <c r="D51" s="759"/>
      <c r="E51" s="759"/>
      <c r="F51" s="759"/>
      <c r="G51" s="759"/>
      <c r="H51" s="759"/>
      <c r="I51" s="759"/>
      <c r="J51" s="759"/>
      <c r="K51" s="759"/>
      <c r="L51" s="759"/>
      <c r="M51" s="759"/>
      <c r="N51" s="759"/>
      <c r="O51" s="759"/>
      <c r="P51" s="759"/>
      <c r="Q51" s="759"/>
      <c r="R51" s="759"/>
      <c r="S51" s="759"/>
      <c r="T51" s="759"/>
      <c r="U51" s="759"/>
      <c r="V51" s="759"/>
    </row>
    <row r="52" spans="1:61">
      <c r="A52" s="521" t="s">
        <v>558</v>
      </c>
    </row>
    <row r="53" spans="1:61">
      <c r="A53" s="757"/>
      <c r="B53" s="663" t="s">
        <v>309</v>
      </c>
      <c r="C53" s="649"/>
      <c r="D53" s="649"/>
      <c r="E53" s="649"/>
      <c r="F53" s="649"/>
      <c r="G53" s="649"/>
      <c r="H53" s="649"/>
      <c r="I53" s="649"/>
      <c r="J53" s="649"/>
      <c r="K53" s="649"/>
      <c r="L53" s="649"/>
      <c r="M53" s="649"/>
      <c r="N53" s="649"/>
      <c r="O53" s="649"/>
      <c r="P53" s="652"/>
      <c r="Q53" s="6"/>
      <c r="R53" s="6"/>
      <c r="S53" s="6"/>
      <c r="T53" s="6">
        <v>2020</v>
      </c>
      <c r="U53" s="6">
        <f>T53+1</f>
        <v>2021</v>
      </c>
      <c r="V53" s="6">
        <f t="shared" ref="V53:AK53" si="1">U53+1</f>
        <v>2022</v>
      </c>
      <c r="W53" s="6">
        <f t="shared" si="1"/>
        <v>2023</v>
      </c>
      <c r="X53" s="6">
        <f t="shared" si="1"/>
        <v>2024</v>
      </c>
      <c r="Y53" s="6">
        <f t="shared" si="1"/>
        <v>2025</v>
      </c>
      <c r="Z53" s="6">
        <f t="shared" si="1"/>
        <v>2026</v>
      </c>
      <c r="AA53" s="6">
        <f t="shared" si="1"/>
        <v>2027</v>
      </c>
      <c r="AB53" s="6">
        <f t="shared" si="1"/>
        <v>2028</v>
      </c>
      <c r="AC53" s="6">
        <f t="shared" si="1"/>
        <v>2029</v>
      </c>
      <c r="AD53" s="6">
        <f t="shared" si="1"/>
        <v>2030</v>
      </c>
      <c r="AE53" s="6">
        <f t="shared" si="1"/>
        <v>2031</v>
      </c>
      <c r="AF53" s="6">
        <f t="shared" si="1"/>
        <v>2032</v>
      </c>
      <c r="AG53" s="6">
        <f t="shared" si="1"/>
        <v>2033</v>
      </c>
      <c r="AH53" s="6">
        <f t="shared" si="1"/>
        <v>2034</v>
      </c>
      <c r="AI53" s="6">
        <f t="shared" si="1"/>
        <v>2035</v>
      </c>
      <c r="AJ53" s="6">
        <f t="shared" si="1"/>
        <v>2036</v>
      </c>
      <c r="AK53" s="6">
        <f t="shared" si="1"/>
        <v>2037</v>
      </c>
      <c r="AL53" s="6">
        <f t="shared" ref="AL53:BA53" si="2">AK53+1</f>
        <v>2038</v>
      </c>
      <c r="AM53" s="6">
        <f t="shared" si="2"/>
        <v>2039</v>
      </c>
      <c r="AN53" s="6">
        <f t="shared" si="2"/>
        <v>2040</v>
      </c>
      <c r="AO53" s="6">
        <f t="shared" si="2"/>
        <v>2041</v>
      </c>
      <c r="AP53" s="6">
        <f t="shared" si="2"/>
        <v>2042</v>
      </c>
      <c r="AQ53" s="6">
        <f t="shared" si="2"/>
        <v>2043</v>
      </c>
      <c r="AR53" s="6">
        <f t="shared" si="2"/>
        <v>2044</v>
      </c>
      <c r="AS53" s="6">
        <f t="shared" si="2"/>
        <v>2045</v>
      </c>
      <c r="AT53" s="6">
        <f t="shared" si="2"/>
        <v>2046</v>
      </c>
      <c r="AU53" s="6">
        <f t="shared" si="2"/>
        <v>2047</v>
      </c>
      <c r="AV53" s="6">
        <f t="shared" si="2"/>
        <v>2048</v>
      </c>
      <c r="AW53" s="6">
        <f t="shared" si="2"/>
        <v>2049</v>
      </c>
      <c r="AX53" s="6">
        <f t="shared" si="2"/>
        <v>2050</v>
      </c>
      <c r="AY53" s="6">
        <f t="shared" si="2"/>
        <v>2051</v>
      </c>
      <c r="AZ53" s="6">
        <f t="shared" si="2"/>
        <v>2052</v>
      </c>
      <c r="BA53" s="6">
        <f t="shared" si="2"/>
        <v>2053</v>
      </c>
      <c r="BB53" s="6">
        <f t="shared" ref="BB53:BI53" si="3">BA53+1</f>
        <v>2054</v>
      </c>
      <c r="BC53" s="6">
        <f t="shared" si="3"/>
        <v>2055</v>
      </c>
      <c r="BD53" s="6">
        <f t="shared" si="3"/>
        <v>2056</v>
      </c>
      <c r="BE53" s="6">
        <f t="shared" si="3"/>
        <v>2057</v>
      </c>
      <c r="BF53" s="6">
        <f t="shared" si="3"/>
        <v>2058</v>
      </c>
      <c r="BG53" s="6">
        <f t="shared" si="3"/>
        <v>2059</v>
      </c>
      <c r="BH53" s="6">
        <f t="shared" si="3"/>
        <v>2060</v>
      </c>
      <c r="BI53" s="6">
        <f t="shared" si="3"/>
        <v>2061</v>
      </c>
    </row>
    <row r="54" spans="1:61">
      <c r="A54" s="758"/>
      <c r="B54" s="664" t="s">
        <v>510</v>
      </c>
      <c r="C54" s="659"/>
      <c r="D54" s="659"/>
      <c r="E54" s="659"/>
      <c r="F54" s="659"/>
      <c r="G54" s="659"/>
      <c r="H54" s="659"/>
      <c r="I54" s="659"/>
      <c r="J54" s="659"/>
      <c r="K54" s="659"/>
      <c r="L54" s="659"/>
      <c r="M54" s="659"/>
      <c r="N54" s="659"/>
      <c r="O54" s="659"/>
      <c r="P54" s="665"/>
      <c r="Q54" s="661">
        <f>DATE(2016,12,31)</f>
        <v>42735</v>
      </c>
      <c r="R54" s="661">
        <f>DATE(YEAR(Q54+1),12,31)</f>
        <v>43100</v>
      </c>
      <c r="S54" s="661">
        <f t="shared" ref="S54" si="4">DATE(YEAR(R54+1),12,31)</f>
        <v>43465</v>
      </c>
      <c r="T54" s="661">
        <f>DATE(YEAR(S54+1),12,31)</f>
        <v>43830</v>
      </c>
      <c r="U54" s="661">
        <f t="shared" ref="U54:BI54" si="5">DATE(YEAR(T54+1),12,31)</f>
        <v>44196</v>
      </c>
      <c r="V54" s="661">
        <f t="shared" si="5"/>
        <v>44561</v>
      </c>
      <c r="W54" s="661">
        <f t="shared" si="5"/>
        <v>44926</v>
      </c>
      <c r="X54" s="661">
        <f t="shared" si="5"/>
        <v>45291</v>
      </c>
      <c r="Y54" s="661">
        <f t="shared" si="5"/>
        <v>45657</v>
      </c>
      <c r="Z54" s="661">
        <f t="shared" si="5"/>
        <v>46022</v>
      </c>
      <c r="AA54" s="661">
        <f t="shared" si="5"/>
        <v>46387</v>
      </c>
      <c r="AB54" s="661">
        <f t="shared" si="5"/>
        <v>46752</v>
      </c>
      <c r="AC54" s="661">
        <f t="shared" si="5"/>
        <v>47118</v>
      </c>
      <c r="AD54" s="661">
        <f t="shared" si="5"/>
        <v>47483</v>
      </c>
      <c r="AE54" s="661">
        <f t="shared" si="5"/>
        <v>47848</v>
      </c>
      <c r="AF54" s="661">
        <f t="shared" si="5"/>
        <v>48213</v>
      </c>
      <c r="AG54" s="661">
        <f t="shared" si="5"/>
        <v>48579</v>
      </c>
      <c r="AH54" s="661">
        <f t="shared" si="5"/>
        <v>48944</v>
      </c>
      <c r="AI54" s="661">
        <f t="shared" si="5"/>
        <v>49309</v>
      </c>
      <c r="AJ54" s="661">
        <f t="shared" si="5"/>
        <v>49674</v>
      </c>
      <c r="AK54" s="661">
        <f t="shared" si="5"/>
        <v>50040</v>
      </c>
      <c r="AL54" s="661">
        <f t="shared" si="5"/>
        <v>50405</v>
      </c>
      <c r="AM54" s="661">
        <f t="shared" si="5"/>
        <v>50770</v>
      </c>
      <c r="AN54" s="661">
        <f t="shared" si="5"/>
        <v>51135</v>
      </c>
      <c r="AO54" s="661">
        <f t="shared" si="5"/>
        <v>51501</v>
      </c>
      <c r="AP54" s="661">
        <f t="shared" si="5"/>
        <v>51866</v>
      </c>
      <c r="AQ54" s="661">
        <f t="shared" si="5"/>
        <v>52231</v>
      </c>
      <c r="AR54" s="661">
        <f t="shared" si="5"/>
        <v>52596</v>
      </c>
      <c r="AS54" s="661">
        <f t="shared" si="5"/>
        <v>52962</v>
      </c>
      <c r="AT54" s="661">
        <f t="shared" si="5"/>
        <v>53327</v>
      </c>
      <c r="AU54" s="661">
        <f t="shared" si="5"/>
        <v>53692</v>
      </c>
      <c r="AV54" s="661">
        <f t="shared" si="5"/>
        <v>54057</v>
      </c>
      <c r="AW54" s="661">
        <f t="shared" si="5"/>
        <v>54423</v>
      </c>
      <c r="AX54" s="661">
        <f t="shared" si="5"/>
        <v>54788</v>
      </c>
      <c r="AY54" s="661">
        <f t="shared" si="5"/>
        <v>55153</v>
      </c>
      <c r="AZ54" s="661">
        <f t="shared" si="5"/>
        <v>55518</v>
      </c>
      <c r="BA54" s="661">
        <f t="shared" si="5"/>
        <v>55884</v>
      </c>
      <c r="BB54" s="661">
        <f t="shared" si="5"/>
        <v>56249</v>
      </c>
      <c r="BC54" s="661">
        <f t="shared" si="5"/>
        <v>56614</v>
      </c>
      <c r="BD54" s="661">
        <f t="shared" si="5"/>
        <v>56979</v>
      </c>
      <c r="BE54" s="661">
        <f t="shared" si="5"/>
        <v>57345</v>
      </c>
      <c r="BF54" s="661">
        <f t="shared" si="5"/>
        <v>57710</v>
      </c>
      <c r="BG54" s="661">
        <f t="shared" si="5"/>
        <v>58075</v>
      </c>
      <c r="BH54" s="661">
        <f t="shared" si="5"/>
        <v>58440</v>
      </c>
      <c r="BI54" s="661">
        <f t="shared" si="5"/>
        <v>58806</v>
      </c>
    </row>
    <row r="55" spans="1:61" ht="30">
      <c r="A55" s="8" t="s">
        <v>346</v>
      </c>
      <c r="B55" s="110" t="s">
        <v>352</v>
      </c>
      <c r="C55" s="13"/>
      <c r="D55" s="13"/>
      <c r="E55" s="13"/>
      <c r="F55" s="13"/>
      <c r="G55" s="13"/>
      <c r="H55" s="13"/>
      <c r="I55" s="13"/>
      <c r="J55" s="13"/>
      <c r="K55" s="13"/>
      <c r="L55" s="13"/>
      <c r="M55" s="13"/>
      <c r="N55" s="13"/>
      <c r="O55" s="13"/>
      <c r="P55" s="13"/>
      <c r="Q55" s="78"/>
      <c r="R55" s="78"/>
      <c r="S55" s="185">
        <f>$P$17*$Q$34*$Q$38/100*$S$46</f>
        <v>1139.3360751613093</v>
      </c>
      <c r="T55" s="188">
        <f>S55*T$46</f>
        <v>1191.784945444359</v>
      </c>
      <c r="U55" s="10">
        <f>T55*U$46</f>
        <v>1219.8874574916817</v>
      </c>
      <c r="V55" s="10">
        <f t="shared" ref="V55:BI57" si="6">U55*V$46</f>
        <v>1326.5453098218957</v>
      </c>
      <c r="W55" s="10">
        <f t="shared" si="6"/>
        <v>1560.2188268164621</v>
      </c>
      <c r="X55" s="10">
        <f t="shared" si="6"/>
        <v>1739.827851114776</v>
      </c>
      <c r="Y55" s="10">
        <f t="shared" si="6"/>
        <v>1769.6323801308135</v>
      </c>
      <c r="Z55" s="10">
        <f t="shared" si="6"/>
        <v>1805.3100885649774</v>
      </c>
      <c r="AA55" s="10">
        <f t="shared" si="6"/>
        <v>1839.0889594294583</v>
      </c>
      <c r="AB55" s="10">
        <f t="shared" si="6"/>
        <v>1867.5402630804977</v>
      </c>
      <c r="AC55" s="10">
        <f t="shared" si="6"/>
        <v>1896.5330854350989</v>
      </c>
      <c r="AD55" s="10">
        <f t="shared" si="6"/>
        <v>1925.2024804764324</v>
      </c>
      <c r="AE55" s="10">
        <f t="shared" si="6"/>
        <v>1953.5003901431646</v>
      </c>
      <c r="AF55" s="10">
        <f t="shared" si="6"/>
        <v>1979.8276886883052</v>
      </c>
      <c r="AG55" s="10">
        <f t="shared" si="6"/>
        <v>2004.9297427028578</v>
      </c>
      <c r="AH55" s="10">
        <f t="shared" si="6"/>
        <v>2030.7053335709784</v>
      </c>
      <c r="AI55" s="10">
        <f t="shared" si="6"/>
        <v>2057.0246662511458</v>
      </c>
      <c r="AJ55" s="10">
        <f t="shared" si="6"/>
        <v>2081.8260349502343</v>
      </c>
      <c r="AK55" s="10">
        <f t="shared" si="6"/>
        <v>2106.0637176710411</v>
      </c>
      <c r="AL55" s="10">
        <f t="shared" si="6"/>
        <v>2129.6235649159817</v>
      </c>
      <c r="AM55" s="10">
        <f t="shared" si="6"/>
        <v>2152.5287555637665</v>
      </c>
      <c r="AN55" s="10">
        <f t="shared" si="6"/>
        <v>2173.6430173088347</v>
      </c>
      <c r="AO55" s="10">
        <f t="shared" si="6"/>
        <v>2192.8844556799022</v>
      </c>
      <c r="AP55" s="10">
        <f t="shared" si="6"/>
        <v>2211.290421352051</v>
      </c>
      <c r="AQ55" s="10">
        <f t="shared" si="6"/>
        <v>2227.713715347661</v>
      </c>
      <c r="AR55" s="10">
        <f t="shared" si="6"/>
        <v>2243.150642588108</v>
      </c>
      <c r="AS55" s="10">
        <f t="shared" si="6"/>
        <v>2258.7760001829961</v>
      </c>
      <c r="AT55" s="10">
        <f t="shared" si="6"/>
        <v>2274.675924190808</v>
      </c>
      <c r="AU55" s="10">
        <f t="shared" si="6"/>
        <v>2290.7637655669746</v>
      </c>
      <c r="AV55" s="10">
        <f t="shared" si="6"/>
        <v>2307.0400505113344</v>
      </c>
      <c r="AW55" s="10">
        <f t="shared" si="6"/>
        <v>2323.5220139955804</v>
      </c>
      <c r="AX55" s="10">
        <f t="shared" si="6"/>
        <v>2338.9769014525891</v>
      </c>
      <c r="AY55" s="10">
        <f t="shared" si="6"/>
        <v>2354.6424125609446</v>
      </c>
      <c r="AZ55" s="10">
        <f t="shared" si="6"/>
        <v>2370.5319321016941</v>
      </c>
      <c r="BA55" s="10">
        <f t="shared" si="6"/>
        <v>2386.758342590228</v>
      </c>
      <c r="BB55" s="10">
        <f t="shared" si="6"/>
        <v>2404.4362247856193</v>
      </c>
      <c r="BC55" s="10">
        <f t="shared" si="6"/>
        <v>2422.3989887740599</v>
      </c>
      <c r="BD55" s="10">
        <f t="shared" si="6"/>
        <v>2440.6680224387351</v>
      </c>
      <c r="BE55" s="10">
        <f t="shared" si="6"/>
        <v>2459.2462766600497</v>
      </c>
      <c r="BF55" s="10">
        <f t="shared" si="6"/>
        <v>2479.3784766090416</v>
      </c>
      <c r="BG55" s="10">
        <f t="shared" si="6"/>
        <v>2499.9601472998684</v>
      </c>
      <c r="BH55" s="10">
        <f t="shared" si="6"/>
        <v>2520.8964967042557</v>
      </c>
      <c r="BI55" s="10">
        <f t="shared" si="6"/>
        <v>2543.3706596620232</v>
      </c>
    </row>
    <row r="56" spans="1:61" ht="30">
      <c r="A56" s="8" t="s">
        <v>347</v>
      </c>
      <c r="B56" s="110" t="s">
        <v>352</v>
      </c>
      <c r="C56" s="13"/>
      <c r="D56" s="13"/>
      <c r="E56" s="13"/>
      <c r="F56" s="13"/>
      <c r="G56" s="13"/>
      <c r="H56" s="13"/>
      <c r="I56" s="13"/>
      <c r="J56" s="13"/>
      <c r="K56" s="13"/>
      <c r="L56" s="13"/>
      <c r="M56" s="13"/>
      <c r="N56" s="13"/>
      <c r="O56" s="13"/>
      <c r="P56" s="13"/>
      <c r="Q56" s="78"/>
      <c r="R56" s="78"/>
      <c r="S56" s="185">
        <f>$R$17*$Q$34*$Q$38/100*$S$46</f>
        <v>1206.3028926381292</v>
      </c>
      <c r="T56" s="188">
        <f t="shared" ref="T56" si="7">S56*T$46</f>
        <v>1261.8345529773201</v>
      </c>
      <c r="U56" s="10">
        <f t="shared" ref="U56:AJ57" si="8">T56*U$46</f>
        <v>1291.5888478795364</v>
      </c>
      <c r="V56" s="10">
        <f t="shared" si="8"/>
        <v>1404.5157345054088</v>
      </c>
      <c r="W56" s="10">
        <f t="shared" si="8"/>
        <v>1651.9238923165808</v>
      </c>
      <c r="X56" s="10">
        <f t="shared" si="8"/>
        <v>1842.0898058502962</v>
      </c>
      <c r="Y56" s="10">
        <f t="shared" si="8"/>
        <v>1873.646157263704</v>
      </c>
      <c r="Z56" s="10">
        <f t="shared" si="8"/>
        <v>1911.4208962762805</v>
      </c>
      <c r="AA56" s="10">
        <f t="shared" si="8"/>
        <v>1947.1851896416986</v>
      </c>
      <c r="AB56" s="10">
        <f t="shared" si="8"/>
        <v>1977.3087770903933</v>
      </c>
      <c r="AC56" s="10">
        <f t="shared" si="8"/>
        <v>2008.0057121164759</v>
      </c>
      <c r="AD56" s="10">
        <f t="shared" si="8"/>
        <v>2038.3602097247863</v>
      </c>
      <c r="AE56" s="10">
        <f t="shared" si="8"/>
        <v>2068.3213871427474</v>
      </c>
      <c r="AF56" s="10">
        <f t="shared" si="8"/>
        <v>2096.1961267237393</v>
      </c>
      <c r="AG56" s="10">
        <f t="shared" si="8"/>
        <v>2122.773605510783</v>
      </c>
      <c r="AH56" s="10">
        <f t="shared" si="8"/>
        <v>2150.0642096630904</v>
      </c>
      <c r="AI56" s="10">
        <f t="shared" si="8"/>
        <v>2177.9305151690373</v>
      </c>
      <c r="AJ56" s="10">
        <f t="shared" si="8"/>
        <v>2204.1896352437343</v>
      </c>
      <c r="AK56" s="10">
        <f t="shared" si="6"/>
        <v>2229.8519375392311</v>
      </c>
      <c r="AL56" s="10">
        <f t="shared" si="6"/>
        <v>2254.7965631868133</v>
      </c>
      <c r="AM56" s="10">
        <f t="shared" si="6"/>
        <v>2279.0480534513858</v>
      </c>
      <c r="AN56" s="10">
        <f t="shared" si="6"/>
        <v>2301.4033492892604</v>
      </c>
      <c r="AO56" s="10">
        <f t="shared" si="6"/>
        <v>2321.7757427134316</v>
      </c>
      <c r="AP56" s="10">
        <f t="shared" si="6"/>
        <v>2341.2635568151381</v>
      </c>
      <c r="AQ56" s="10">
        <f t="shared" si="6"/>
        <v>2358.6521636410439</v>
      </c>
      <c r="AR56" s="10">
        <f t="shared" si="6"/>
        <v>2374.9964279802198</v>
      </c>
      <c r="AS56" s="10">
        <f t="shared" si="6"/>
        <v>2391.5401980548663</v>
      </c>
      <c r="AT56" s="10">
        <f t="shared" si="6"/>
        <v>2408.3746727471857</v>
      </c>
      <c r="AU56" s="10">
        <f t="shared" si="6"/>
        <v>2425.4081100370786</v>
      </c>
      <c r="AV56" s="10">
        <f t="shared" si="6"/>
        <v>2442.6410670528599</v>
      </c>
      <c r="AW56" s="10">
        <f t="shared" si="6"/>
        <v>2460.0917917870761</v>
      </c>
      <c r="AX56" s="10">
        <f t="shared" si="6"/>
        <v>2476.4550719914241</v>
      </c>
      <c r="AY56" s="10">
        <f t="shared" si="6"/>
        <v>2493.0413556847484</v>
      </c>
      <c r="AZ56" s="10">
        <f t="shared" si="6"/>
        <v>2509.864814366088</v>
      </c>
      <c r="BA56" s="10">
        <f t="shared" si="6"/>
        <v>2527.0449654524837</v>
      </c>
      <c r="BB56" s="10">
        <f t="shared" si="6"/>
        <v>2545.7619014759457</v>
      </c>
      <c r="BC56" s="10">
        <f t="shared" si="6"/>
        <v>2564.7804638048565</v>
      </c>
      <c r="BD56" s="10">
        <f t="shared" si="6"/>
        <v>2584.123297439156</v>
      </c>
      <c r="BE56" s="10">
        <f t="shared" si="6"/>
        <v>2603.7935267033049</v>
      </c>
      <c r="BF56" s="10">
        <f t="shared" si="6"/>
        <v>2625.109038046347</v>
      </c>
      <c r="BG56" s="10">
        <f t="shared" si="6"/>
        <v>2646.9004386970764</v>
      </c>
      <c r="BH56" s="10">
        <f t="shared" si="6"/>
        <v>2669.0673650310987</v>
      </c>
      <c r="BI56" s="10">
        <f t="shared" si="6"/>
        <v>2692.8624930680453</v>
      </c>
    </row>
    <row r="57" spans="1:61" ht="30">
      <c r="A57" s="8" t="s">
        <v>348</v>
      </c>
      <c r="B57" s="110" t="s">
        <v>352</v>
      </c>
      <c r="C57" s="13"/>
      <c r="D57" s="13"/>
      <c r="E57" s="13"/>
      <c r="F57" s="13"/>
      <c r="G57" s="13"/>
      <c r="H57" s="13"/>
      <c r="I57" s="13"/>
      <c r="J57" s="13"/>
      <c r="K57" s="13"/>
      <c r="L57" s="13"/>
      <c r="M57" s="13"/>
      <c r="N57" s="13"/>
      <c r="O57" s="13"/>
      <c r="P57" s="13"/>
      <c r="Q57" s="78"/>
      <c r="R57" s="78"/>
      <c r="S57" s="185">
        <f>$T$17*$Q$34*$Q$38/100*$S$46</f>
        <v>1261.5030969625163</v>
      </c>
      <c r="T57" s="188">
        <f t="shared" ref="T57:AI60" si="9">S57*T$46</f>
        <v>1319.5758761333898</v>
      </c>
      <c r="U57" s="10">
        <f t="shared" si="8"/>
        <v>1350.6917222414882</v>
      </c>
      <c r="V57" s="10">
        <f t="shared" si="6"/>
        <v>1468.7861229747273</v>
      </c>
      <c r="W57" s="10">
        <f t="shared" si="6"/>
        <v>1727.5156337777914</v>
      </c>
      <c r="X57" s="10">
        <f t="shared" si="6"/>
        <v>1926.3835054570584</v>
      </c>
      <c r="Y57" s="10">
        <f t="shared" si="6"/>
        <v>1959.3838698595612</v>
      </c>
      <c r="Z57" s="10">
        <f t="shared" si="6"/>
        <v>1998.8871741640887</v>
      </c>
      <c r="AA57" s="10">
        <f t="shared" si="6"/>
        <v>2036.2880351887047</v>
      </c>
      <c r="AB57" s="10">
        <f t="shared" si="6"/>
        <v>2067.7900726040698</v>
      </c>
      <c r="AC57" s="10">
        <f t="shared" si="6"/>
        <v>2099.8916938792804</v>
      </c>
      <c r="AD57" s="10">
        <f t="shared" si="6"/>
        <v>2131.6352078618106</v>
      </c>
      <c r="AE57" s="10">
        <f t="shared" si="6"/>
        <v>2162.9674033925226</v>
      </c>
      <c r="AF57" s="10">
        <f t="shared" si="6"/>
        <v>2192.117686064516</v>
      </c>
      <c r="AG57" s="10">
        <f t="shared" si="6"/>
        <v>2219.9113455209631</v>
      </c>
      <c r="AH57" s="10">
        <f t="shared" si="6"/>
        <v>2248.4507628316715</v>
      </c>
      <c r="AI57" s="10">
        <f t="shared" si="6"/>
        <v>2277.592225486856</v>
      </c>
      <c r="AJ57" s="10">
        <f t="shared" si="6"/>
        <v>2305.052958193296</v>
      </c>
      <c r="AK57" s="10">
        <f t="shared" si="6"/>
        <v>2331.8895628458463</v>
      </c>
      <c r="AL57" s="10">
        <f t="shared" si="6"/>
        <v>2357.9756500956055</v>
      </c>
      <c r="AM57" s="10">
        <f t="shared" si="6"/>
        <v>2383.3368842113659</v>
      </c>
      <c r="AN57" s="10">
        <f t="shared" si="6"/>
        <v>2406.7151543830619</v>
      </c>
      <c r="AO57" s="10">
        <f t="shared" si="6"/>
        <v>2428.0197848817306</v>
      </c>
      <c r="AP57" s="10">
        <f t="shared" si="6"/>
        <v>2448.3993578665622</v>
      </c>
      <c r="AQ57" s="10">
        <f t="shared" si="6"/>
        <v>2466.5836642266099</v>
      </c>
      <c r="AR57" s="10">
        <f t="shared" si="6"/>
        <v>2483.6758391747717</v>
      </c>
      <c r="AS57" s="10">
        <f t="shared" si="6"/>
        <v>2500.9766492051285</v>
      </c>
      <c r="AT57" s="10">
        <f t="shared" si="6"/>
        <v>2518.5814664443997</v>
      </c>
      <c r="AU57" s="10">
        <f t="shared" si="6"/>
        <v>2536.394350774076</v>
      </c>
      <c r="AV57" s="10">
        <f t="shared" si="6"/>
        <v>2554.4158848165639</v>
      </c>
      <c r="AW57" s="10">
        <f t="shared" si="6"/>
        <v>2572.6651515892813</v>
      </c>
      <c r="AX57" s="10">
        <f t="shared" si="6"/>
        <v>2589.7772125651995</v>
      </c>
      <c r="AY57" s="10">
        <f t="shared" si="6"/>
        <v>2607.1224816298109</v>
      </c>
      <c r="AZ57" s="10">
        <f t="shared" si="6"/>
        <v>2624.7157787674123</v>
      </c>
      <c r="BA57" s="10">
        <f t="shared" si="6"/>
        <v>2642.6820904906431</v>
      </c>
      <c r="BB57" s="10">
        <f t="shared" si="6"/>
        <v>2662.2555101544303</v>
      </c>
      <c r="BC57" s="10">
        <f t="shared" si="6"/>
        <v>2682.1443584893836</v>
      </c>
      <c r="BD57" s="10">
        <f t="shared" si="6"/>
        <v>2702.3723167265853</v>
      </c>
      <c r="BE57" s="10">
        <f t="shared" si="6"/>
        <v>2722.9426521590231</v>
      </c>
      <c r="BF57" s="10">
        <f t="shared" si="6"/>
        <v>2745.2335574836229</v>
      </c>
      <c r="BG57" s="10">
        <f t="shared" si="6"/>
        <v>2768.0221287254003</v>
      </c>
      <c r="BH57" s="10">
        <f t="shared" si="6"/>
        <v>2791.2034096384837</v>
      </c>
      <c r="BI57" s="10">
        <f t="shared" si="6"/>
        <v>2816.0873984728141</v>
      </c>
    </row>
    <row r="58" spans="1:61" ht="30">
      <c r="A58" s="8" t="s">
        <v>349</v>
      </c>
      <c r="B58" s="110" t="s">
        <v>352</v>
      </c>
      <c r="C58" s="13"/>
      <c r="D58" s="13"/>
      <c r="E58" s="13"/>
      <c r="F58" s="13"/>
      <c r="G58" s="13"/>
      <c r="H58" s="13"/>
      <c r="I58" s="13"/>
      <c r="J58" s="13"/>
      <c r="K58" s="13"/>
      <c r="L58" s="13"/>
      <c r="M58" s="13"/>
      <c r="N58" s="13"/>
      <c r="O58" s="13"/>
      <c r="P58" s="13"/>
      <c r="Q58" s="78"/>
      <c r="R58" s="78"/>
      <c r="S58" s="185">
        <f>$V$17*$Q$34*$Q$38/100*$S$46</f>
        <v>1363.4161125177338</v>
      </c>
      <c r="T58" s="188">
        <f t="shared" si="9"/>
        <v>1426.180415681871</v>
      </c>
      <c r="U58" s="10">
        <f t="shared" si="9"/>
        <v>1459.8100167827743</v>
      </c>
      <c r="V58" s="10">
        <f t="shared" si="9"/>
        <v>1587.4449065785373</v>
      </c>
      <c r="W58" s="10">
        <f t="shared" si="9"/>
        <v>1867.0763911639535</v>
      </c>
      <c r="X58" s="10">
        <f t="shared" si="9"/>
        <v>2082.010196053121</v>
      </c>
      <c r="Y58" s="10">
        <f t="shared" si="9"/>
        <v>2117.6765599753858</v>
      </c>
      <c r="Z58" s="10">
        <f t="shared" si="9"/>
        <v>2160.3712166244009</v>
      </c>
      <c r="AA58" s="10">
        <f t="shared" si="9"/>
        <v>2200.7935799668139</v>
      </c>
      <c r="AB58" s="10">
        <f t="shared" si="9"/>
        <v>2234.8405716013667</v>
      </c>
      <c r="AC58" s="10">
        <f t="shared" si="9"/>
        <v>2269.5355856603492</v>
      </c>
      <c r="AD58" s="10">
        <f t="shared" si="9"/>
        <v>2303.8435620227719</v>
      </c>
      <c r="AE58" s="10">
        <f t="shared" si="9"/>
        <v>2337.7069907610671</v>
      </c>
      <c r="AF58" s="10">
        <f t="shared" si="9"/>
        <v>2369.2122365073033</v>
      </c>
      <c r="AG58" s="10">
        <f t="shared" si="9"/>
        <v>2399.2512615560677</v>
      </c>
      <c r="AH58" s="10">
        <f t="shared" si="9"/>
        <v>2430.0962919780923</v>
      </c>
      <c r="AI58" s="10">
        <f t="shared" si="9"/>
        <v>2461.5920051650678</v>
      </c>
      <c r="AJ58" s="10">
        <f t="shared" ref="AJ58:BI58" si="10">AI58*AJ$46</f>
        <v>2491.2712073197458</v>
      </c>
      <c r="AK58" s="10">
        <f t="shared" si="10"/>
        <v>2520.2758600048301</v>
      </c>
      <c r="AL58" s="10">
        <f t="shared" si="10"/>
        <v>2548.4693632586095</v>
      </c>
      <c r="AM58" s="10">
        <f t="shared" si="10"/>
        <v>2575.8794546884442</v>
      </c>
      <c r="AN58" s="10">
        <f t="shared" si="10"/>
        <v>2601.1463845213002</v>
      </c>
      <c r="AO58" s="10">
        <f t="shared" si="10"/>
        <v>2624.1721516106259</v>
      </c>
      <c r="AP58" s="10">
        <f t="shared" si="10"/>
        <v>2646.1981285905113</v>
      </c>
      <c r="AQ58" s="10">
        <f t="shared" si="10"/>
        <v>2665.8514900019454</v>
      </c>
      <c r="AR58" s="10">
        <f t="shared" si="10"/>
        <v>2684.3244900115428</v>
      </c>
      <c r="AS58" s="10">
        <f t="shared" si="10"/>
        <v>2703.0229800999091</v>
      </c>
      <c r="AT58" s="10">
        <f t="shared" si="10"/>
        <v>2722.0500372191082</v>
      </c>
      <c r="AU58" s="10">
        <f t="shared" si="10"/>
        <v>2741.3019705389493</v>
      </c>
      <c r="AV58" s="10">
        <f t="shared" si="10"/>
        <v>2760.7794097501392</v>
      </c>
      <c r="AW58" s="10">
        <f t="shared" si="10"/>
        <v>2780.5029795292921</v>
      </c>
      <c r="AX58" s="10">
        <f t="shared" si="10"/>
        <v>2798.9974720986165</v>
      </c>
      <c r="AY58" s="10">
        <f t="shared" si="10"/>
        <v>2817.7440129319989</v>
      </c>
      <c r="AZ58" s="10">
        <f t="shared" si="10"/>
        <v>2836.7586192753956</v>
      </c>
      <c r="BA58" s="10">
        <f t="shared" si="10"/>
        <v>2856.1763749233605</v>
      </c>
      <c r="BB58" s="10">
        <f t="shared" si="10"/>
        <v>2877.3310718963098</v>
      </c>
      <c r="BC58" s="10">
        <f t="shared" si="10"/>
        <v>2898.8266800676965</v>
      </c>
      <c r="BD58" s="10">
        <f t="shared" si="10"/>
        <v>2920.6887938035584</v>
      </c>
      <c r="BE58" s="10">
        <f t="shared" si="10"/>
        <v>2942.9209443515911</v>
      </c>
      <c r="BF58" s="10">
        <f t="shared" si="10"/>
        <v>2967.0126644237375</v>
      </c>
      <c r="BG58" s="10">
        <f t="shared" si="10"/>
        <v>2991.6422553356501</v>
      </c>
      <c r="BH58" s="10">
        <f t="shared" si="10"/>
        <v>3016.6962817441454</v>
      </c>
      <c r="BI58" s="10">
        <f t="shared" si="10"/>
        <v>3043.5905726912929</v>
      </c>
    </row>
    <row r="59" spans="1:61" ht="45">
      <c r="A59" s="8" t="s">
        <v>350</v>
      </c>
      <c r="B59" s="110" t="s">
        <v>352</v>
      </c>
      <c r="C59" s="13"/>
      <c r="D59" s="13"/>
      <c r="E59" s="13"/>
      <c r="F59" s="13"/>
      <c r="G59" s="13"/>
      <c r="H59" s="13"/>
      <c r="I59" s="13"/>
      <c r="J59" s="13"/>
      <c r="K59" s="13"/>
      <c r="L59" s="13"/>
      <c r="M59" s="13"/>
      <c r="N59" s="13"/>
      <c r="O59" s="13"/>
      <c r="P59" s="13"/>
      <c r="Q59" s="78"/>
      <c r="R59" s="78"/>
      <c r="S59" s="185">
        <f>$X$17*$Q$34*$Q$38/100*$S$46</f>
        <v>1052.9832802776141</v>
      </c>
      <c r="T59" s="188">
        <f t="shared" si="9"/>
        <v>1101.456934962586</v>
      </c>
      <c r="U59" s="10">
        <f t="shared" si="9"/>
        <v>1127.429495618529</v>
      </c>
      <c r="V59" s="10">
        <f t="shared" si="9"/>
        <v>1226.0035139986046</v>
      </c>
      <c r="W59" s="10">
        <f t="shared" si="9"/>
        <v>1441.9663995801118</v>
      </c>
      <c r="X59" s="10">
        <f t="shared" si="9"/>
        <v>1607.962459650731</v>
      </c>
      <c r="Y59" s="10">
        <f t="shared" si="9"/>
        <v>1635.508037654125</v>
      </c>
      <c r="Z59" s="10">
        <f t="shared" si="9"/>
        <v>1668.4816538493949</v>
      </c>
      <c r="AA59" s="10">
        <f t="shared" si="9"/>
        <v>1699.7003495638435</v>
      </c>
      <c r="AB59" s="10">
        <f t="shared" si="9"/>
        <v>1725.995266138309</v>
      </c>
      <c r="AC59" s="10">
        <f t="shared" si="9"/>
        <v>1752.7906585190267</v>
      </c>
      <c r="AD59" s="10">
        <f t="shared" si="9"/>
        <v>1779.2871368561352</v>
      </c>
      <c r="AE59" s="10">
        <f t="shared" si="9"/>
        <v>1805.4402855148016</v>
      </c>
      <c r="AF59" s="10">
        <f t="shared" si="9"/>
        <v>1829.7721800165932</v>
      </c>
      <c r="AG59" s="10">
        <f t="shared" si="9"/>
        <v>1852.9716939740592</v>
      </c>
      <c r="AH59" s="10">
        <f t="shared" si="9"/>
        <v>1876.7936959409194</v>
      </c>
      <c r="AI59" s="10">
        <f t="shared" si="9"/>
        <v>1901.1182283282194</v>
      </c>
      <c r="AJ59" s="10">
        <f t="shared" ref="AJ59:BI59" si="11">AI59*AJ$46</f>
        <v>1924.0398465736903</v>
      </c>
      <c r="AK59" s="10">
        <f t="shared" si="11"/>
        <v>1946.4405018448488</v>
      </c>
      <c r="AL59" s="10">
        <f t="shared" si="11"/>
        <v>1968.2146962863833</v>
      </c>
      <c r="AM59" s="10">
        <f t="shared" si="11"/>
        <v>1989.3838519986466</v>
      </c>
      <c r="AN59" s="10">
        <f t="shared" si="11"/>
        <v>2008.8978172611037</v>
      </c>
      <c r="AO59" s="10">
        <f t="shared" si="11"/>
        <v>2026.6809045651353</v>
      </c>
      <c r="AP59" s="10">
        <f t="shared" si="11"/>
        <v>2043.6918414894249</v>
      </c>
      <c r="AQ59" s="10">
        <f t="shared" si="11"/>
        <v>2058.8703777979608</v>
      </c>
      <c r="AR59" s="10">
        <f t="shared" si="11"/>
        <v>2073.137306263955</v>
      </c>
      <c r="AS59" s="10">
        <f t="shared" si="11"/>
        <v>2087.5783835320881</v>
      </c>
      <c r="AT59" s="10">
        <f t="shared" si="11"/>
        <v>2102.2732172189262</v>
      </c>
      <c r="AU59" s="10">
        <f t="shared" si="11"/>
        <v>2117.1417256021646</v>
      </c>
      <c r="AV59" s="10">
        <f t="shared" si="11"/>
        <v>2132.1843949997947</v>
      </c>
      <c r="AW59" s="10">
        <f t="shared" si="11"/>
        <v>2147.4171541069795</v>
      </c>
      <c r="AX59" s="10">
        <f t="shared" si="11"/>
        <v>2161.7006815450959</v>
      </c>
      <c r="AY59" s="10">
        <f t="shared" si="11"/>
        <v>2176.1788690033191</v>
      </c>
      <c r="AZ59" s="10">
        <f t="shared" si="11"/>
        <v>2190.8640868006091</v>
      </c>
      <c r="BA59" s="10">
        <f t="shared" si="11"/>
        <v>2205.8606618374597</v>
      </c>
      <c r="BB59" s="10">
        <f t="shared" si="11"/>
        <v>2222.1986983380848</v>
      </c>
      <c r="BC59" s="10">
        <f t="shared" si="11"/>
        <v>2238.8000248121216</v>
      </c>
      <c r="BD59" s="10">
        <f t="shared" si="11"/>
        <v>2255.6844081079003</v>
      </c>
      <c r="BE59" s="10">
        <f t="shared" si="11"/>
        <v>2272.8545754520892</v>
      </c>
      <c r="BF59" s="10">
        <f t="shared" si="11"/>
        <v>2291.4609115487433</v>
      </c>
      <c r="BG59" s="10">
        <f t="shared" si="11"/>
        <v>2310.4826520080296</v>
      </c>
      <c r="BH59" s="10">
        <f t="shared" si="11"/>
        <v>2329.8321892986387</v>
      </c>
      <c r="BI59" s="10">
        <f t="shared" si="11"/>
        <v>2350.6029858604988</v>
      </c>
    </row>
    <row r="60" spans="1:61" ht="45">
      <c r="A60" s="8" t="s">
        <v>351</v>
      </c>
      <c r="B60" s="110" t="s">
        <v>352</v>
      </c>
      <c r="C60" s="13"/>
      <c r="D60" s="13"/>
      <c r="E60" s="13"/>
      <c r="F60" s="13"/>
      <c r="G60" s="13"/>
      <c r="H60" s="13"/>
      <c r="I60" s="13"/>
      <c r="J60" s="13"/>
      <c r="K60" s="13"/>
      <c r="L60" s="13"/>
      <c r="M60" s="13"/>
      <c r="N60" s="13"/>
      <c r="O60" s="13"/>
      <c r="P60" s="13"/>
      <c r="Q60" s="78"/>
      <c r="R60" s="78"/>
      <c r="S60" s="185">
        <f>$Z$17*$Q$34*$Q$38/100*$S$46</f>
        <v>1127.344417495033</v>
      </c>
      <c r="T60" s="188">
        <f t="shared" si="9"/>
        <v>1179.2412567214619</v>
      </c>
      <c r="U60" s="10">
        <f t="shared" si="9"/>
        <v>1207.0479862412401</v>
      </c>
      <c r="V60" s="10">
        <f t="shared" si="9"/>
        <v>1312.583251057157</v>
      </c>
      <c r="W60" s="10">
        <f t="shared" si="9"/>
        <v>1543.7973244489419</v>
      </c>
      <c r="X60" s="10">
        <f t="shared" si="9"/>
        <v>1721.5159408332834</v>
      </c>
      <c r="Y60" s="10">
        <f t="shared" si="9"/>
        <v>1751.0067733758601</v>
      </c>
      <c r="Z60" s="10">
        <f t="shared" si="9"/>
        <v>1786.308969373275</v>
      </c>
      <c r="AA60" s="10">
        <f t="shared" si="9"/>
        <v>1819.7323133088794</v>
      </c>
      <c r="AB60" s="10">
        <f t="shared" si="9"/>
        <v>1847.8841633562097</v>
      </c>
      <c r="AC60" s="10">
        <f t="shared" si="9"/>
        <v>1876.5718325536036</v>
      </c>
      <c r="AD60" s="10">
        <f t="shared" si="9"/>
        <v>1904.9394785514985</v>
      </c>
      <c r="AE60" s="10">
        <f t="shared" si="9"/>
        <v>1932.9395491057926</v>
      </c>
      <c r="AF60" s="10">
        <f t="shared" si="9"/>
        <v>1958.9897494721658</v>
      </c>
      <c r="AG60" s="10">
        <f t="shared" si="9"/>
        <v>1983.8276011630799</v>
      </c>
      <c r="AH60" s="10">
        <f t="shared" si="9"/>
        <v>2009.3319006461782</v>
      </c>
      <c r="AI60" s="10">
        <f t="shared" si="9"/>
        <v>2035.3742189893242</v>
      </c>
      <c r="AJ60" s="10">
        <f t="shared" ref="AJ60:BI60" si="12">AI60*AJ$46</f>
        <v>2059.914550116112</v>
      </c>
      <c r="AK60" s="10">
        <f t="shared" si="12"/>
        <v>2083.8971281315135</v>
      </c>
      <c r="AL60" s="10">
        <f t="shared" si="12"/>
        <v>2107.2090049759809</v>
      </c>
      <c r="AM60" s="10">
        <f t="shared" si="12"/>
        <v>2129.8731155675673</v>
      </c>
      <c r="AN60" s="10">
        <f t="shared" si="12"/>
        <v>2150.7651470118112</v>
      </c>
      <c r="AO60" s="10">
        <f t="shared" si="12"/>
        <v>2169.804066787196</v>
      </c>
      <c r="AP60" s="10">
        <f t="shared" si="12"/>
        <v>2188.0163073204949</v>
      </c>
      <c r="AQ60" s="10">
        <f t="shared" si="12"/>
        <v>2204.2667440498058</v>
      </c>
      <c r="AR60" s="10">
        <f t="shared" si="12"/>
        <v>2219.5411956599955</v>
      </c>
      <c r="AS60" s="10">
        <f t="shared" si="12"/>
        <v>2235.0020943710865</v>
      </c>
      <c r="AT60" s="10">
        <f t="shared" si="12"/>
        <v>2250.734669648547</v>
      </c>
      <c r="AU60" s="10">
        <f t="shared" si="12"/>
        <v>2266.6531844400665</v>
      </c>
      <c r="AV60" s="10">
        <f t="shared" si="12"/>
        <v>2282.7581594071626</v>
      </c>
      <c r="AW60" s="10">
        <f t="shared" si="12"/>
        <v>2299.0666481212511</v>
      </c>
      <c r="AX60" s="10">
        <f t="shared" si="12"/>
        <v>2314.3588709144301</v>
      </c>
      <c r="AY60" s="10">
        <f t="shared" si="12"/>
        <v>2329.8595005181319</v>
      </c>
      <c r="AZ60" s="10">
        <f t="shared" si="12"/>
        <v>2345.5817808368743</v>
      </c>
      <c r="BA60" s="10">
        <f t="shared" si="12"/>
        <v>2361.6374062831601</v>
      </c>
      <c r="BB60" s="10">
        <f t="shared" si="12"/>
        <v>2379.1292265112588</v>
      </c>
      <c r="BC60" s="10">
        <f t="shared" si="12"/>
        <v>2396.90293011516</v>
      </c>
      <c r="BD60" s="10">
        <f t="shared" si="12"/>
        <v>2414.9796798678476</v>
      </c>
      <c r="BE60" s="10">
        <f t="shared" si="12"/>
        <v>2433.3623955913336</v>
      </c>
      <c r="BF60" s="10">
        <f t="shared" si="12"/>
        <v>2453.2827015652988</v>
      </c>
      <c r="BG60" s="10">
        <f t="shared" si="12"/>
        <v>2473.6477475441507</v>
      </c>
      <c r="BH60" s="10">
        <f t="shared" si="12"/>
        <v>2494.3637391978159</v>
      </c>
      <c r="BI60" s="10">
        <f t="shared" si="12"/>
        <v>2516.6013587208577</v>
      </c>
    </row>
    <row r="61" spans="1:61"/>
    <row r="62" spans="1:61">
      <c r="A62" s="759" t="s">
        <v>903</v>
      </c>
      <c r="B62" s="759"/>
      <c r="C62" s="759"/>
      <c r="D62" s="759"/>
      <c r="E62" s="759"/>
      <c r="F62" s="759"/>
      <c r="G62" s="759"/>
      <c r="H62" s="759"/>
      <c r="I62" s="759"/>
      <c r="J62" s="759"/>
      <c r="K62" s="759"/>
      <c r="L62" s="759"/>
      <c r="M62" s="759"/>
      <c r="N62" s="759"/>
      <c r="O62" s="759"/>
      <c r="P62" s="759"/>
      <c r="Q62" s="759"/>
      <c r="R62" s="759"/>
      <c r="S62" s="759"/>
      <c r="T62" s="759"/>
      <c r="U62" s="759"/>
      <c r="V62" s="759"/>
    </row>
    <row r="63" spans="1:61" s="592" customFormat="1">
      <c r="A63" s="759"/>
      <c r="B63" s="759"/>
      <c r="C63" s="759"/>
      <c r="D63" s="759"/>
      <c r="E63" s="759"/>
      <c r="F63" s="759"/>
      <c r="G63" s="759"/>
      <c r="H63" s="759"/>
      <c r="I63" s="759"/>
      <c r="J63" s="759"/>
      <c r="K63" s="759"/>
      <c r="L63" s="759"/>
      <c r="M63" s="759"/>
      <c r="N63" s="759"/>
      <c r="O63" s="759"/>
      <c r="P63" s="759"/>
      <c r="Q63" s="759"/>
      <c r="R63" s="759"/>
      <c r="S63" s="759"/>
      <c r="T63" s="759"/>
      <c r="U63" s="759"/>
      <c r="V63" s="759"/>
    </row>
    <row r="64" spans="1:61">
      <c r="A64" s="522" t="s">
        <v>353</v>
      </c>
    </row>
    <row r="65" spans="1:61">
      <c r="A65" s="757"/>
      <c r="B65" s="663" t="s">
        <v>309</v>
      </c>
      <c r="C65" s="649"/>
      <c r="D65" s="649"/>
      <c r="E65" s="649"/>
      <c r="F65" s="649"/>
      <c r="G65" s="649"/>
      <c r="H65" s="649"/>
      <c r="I65" s="649"/>
      <c r="J65" s="649"/>
      <c r="K65" s="649"/>
      <c r="L65" s="649"/>
      <c r="M65" s="649"/>
      <c r="N65" s="649"/>
      <c r="O65" s="649"/>
      <c r="P65" s="652"/>
      <c r="Q65" s="6"/>
      <c r="R65" s="6"/>
      <c r="S65" s="6"/>
      <c r="T65" s="6">
        <v>2020</v>
      </c>
      <c r="U65" s="6">
        <f>T65+1</f>
        <v>2021</v>
      </c>
      <c r="V65" s="6">
        <f t="shared" ref="V65" si="13">U65+1</f>
        <v>2022</v>
      </c>
      <c r="W65" s="6">
        <f t="shared" ref="W65" si="14">V65+1</f>
        <v>2023</v>
      </c>
      <c r="X65" s="6">
        <f t="shared" ref="X65" si="15">W65+1</f>
        <v>2024</v>
      </c>
      <c r="Y65" s="6">
        <f t="shared" ref="Y65" si="16">X65+1</f>
        <v>2025</v>
      </c>
      <c r="Z65" s="6">
        <f t="shared" ref="Z65" si="17">Y65+1</f>
        <v>2026</v>
      </c>
      <c r="AA65" s="6">
        <f t="shared" ref="AA65" si="18">Z65+1</f>
        <v>2027</v>
      </c>
      <c r="AB65" s="6">
        <f t="shared" ref="AB65" si="19">AA65+1</f>
        <v>2028</v>
      </c>
      <c r="AC65" s="6">
        <f t="shared" ref="AC65" si="20">AB65+1</f>
        <v>2029</v>
      </c>
      <c r="AD65" s="6">
        <f t="shared" ref="AD65" si="21">AC65+1</f>
        <v>2030</v>
      </c>
      <c r="AE65" s="6">
        <f t="shared" ref="AE65" si="22">AD65+1</f>
        <v>2031</v>
      </c>
      <c r="AF65" s="6">
        <f t="shared" ref="AF65" si="23">AE65+1</f>
        <v>2032</v>
      </c>
      <c r="AG65" s="6">
        <f t="shared" ref="AG65" si="24">AF65+1</f>
        <v>2033</v>
      </c>
      <c r="AH65" s="6">
        <f t="shared" ref="AH65" si="25">AG65+1</f>
        <v>2034</v>
      </c>
      <c r="AI65" s="6">
        <f t="shared" ref="AI65" si="26">AH65+1</f>
        <v>2035</v>
      </c>
      <c r="AJ65" s="6">
        <f t="shared" ref="AJ65" si="27">AI65+1</f>
        <v>2036</v>
      </c>
      <c r="AK65" s="6">
        <f t="shared" ref="AK65" si="28">AJ65+1</f>
        <v>2037</v>
      </c>
      <c r="AL65" s="6">
        <f t="shared" ref="AL65" si="29">AK65+1</f>
        <v>2038</v>
      </c>
      <c r="AM65" s="6">
        <f t="shared" ref="AM65" si="30">AL65+1</f>
        <v>2039</v>
      </c>
      <c r="AN65" s="6">
        <f t="shared" ref="AN65" si="31">AM65+1</f>
        <v>2040</v>
      </c>
      <c r="AO65" s="6">
        <f t="shared" ref="AO65" si="32">AN65+1</f>
        <v>2041</v>
      </c>
      <c r="AP65" s="6">
        <f t="shared" ref="AP65" si="33">AO65+1</f>
        <v>2042</v>
      </c>
      <c r="AQ65" s="6">
        <f t="shared" ref="AQ65" si="34">AP65+1</f>
        <v>2043</v>
      </c>
      <c r="AR65" s="6">
        <f t="shared" ref="AR65" si="35">AQ65+1</f>
        <v>2044</v>
      </c>
      <c r="AS65" s="6">
        <f t="shared" ref="AS65" si="36">AR65+1</f>
        <v>2045</v>
      </c>
      <c r="AT65" s="6">
        <f t="shared" ref="AT65" si="37">AS65+1</f>
        <v>2046</v>
      </c>
      <c r="AU65" s="6">
        <f t="shared" ref="AU65" si="38">AT65+1</f>
        <v>2047</v>
      </c>
      <c r="AV65" s="6">
        <f t="shared" ref="AV65" si="39">AU65+1</f>
        <v>2048</v>
      </c>
      <c r="AW65" s="6">
        <f t="shared" ref="AW65" si="40">AV65+1</f>
        <v>2049</v>
      </c>
      <c r="AX65" s="6">
        <f t="shared" ref="AX65" si="41">AW65+1</f>
        <v>2050</v>
      </c>
      <c r="AY65" s="6">
        <f t="shared" ref="AY65" si="42">AX65+1</f>
        <v>2051</v>
      </c>
      <c r="AZ65" s="6">
        <f t="shared" ref="AZ65" si="43">AY65+1</f>
        <v>2052</v>
      </c>
      <c r="BA65" s="6">
        <f t="shared" ref="BA65" si="44">AZ65+1</f>
        <v>2053</v>
      </c>
      <c r="BB65" s="6">
        <f t="shared" ref="BB65" si="45">BA65+1</f>
        <v>2054</v>
      </c>
      <c r="BC65" s="6">
        <f t="shared" ref="BC65" si="46">BB65+1</f>
        <v>2055</v>
      </c>
      <c r="BD65" s="6">
        <f t="shared" ref="BD65" si="47">BC65+1</f>
        <v>2056</v>
      </c>
      <c r="BE65" s="6">
        <f t="shared" ref="BE65" si="48">BD65+1</f>
        <v>2057</v>
      </c>
      <c r="BF65" s="6">
        <f t="shared" ref="BF65" si="49">BE65+1</f>
        <v>2058</v>
      </c>
      <c r="BG65" s="6">
        <f t="shared" ref="BG65" si="50">BF65+1</f>
        <v>2059</v>
      </c>
      <c r="BH65" s="6">
        <f t="shared" ref="BH65" si="51">BG65+1</f>
        <v>2060</v>
      </c>
      <c r="BI65" s="6">
        <f t="shared" ref="BI65" si="52">BH65+1</f>
        <v>2061</v>
      </c>
    </row>
    <row r="66" spans="1:61">
      <c r="A66" s="758"/>
      <c r="B66" s="664" t="s">
        <v>510</v>
      </c>
      <c r="C66" s="659"/>
      <c r="D66" s="659"/>
      <c r="E66" s="659"/>
      <c r="F66" s="659"/>
      <c r="G66" s="659"/>
      <c r="H66" s="659"/>
      <c r="I66" s="659"/>
      <c r="J66" s="659"/>
      <c r="K66" s="659"/>
      <c r="L66" s="659"/>
      <c r="M66" s="659"/>
      <c r="N66" s="659"/>
      <c r="O66" s="659"/>
      <c r="P66" s="665"/>
      <c r="Q66" s="661">
        <f>DATE(2016,12,31)</f>
        <v>42735</v>
      </c>
      <c r="R66" s="661">
        <f>DATE(YEAR(Q66+1),12,31)</f>
        <v>43100</v>
      </c>
      <c r="S66" s="661">
        <f t="shared" ref="S66" si="53">DATE(YEAR(R66+1),12,31)</f>
        <v>43465</v>
      </c>
      <c r="T66" s="661">
        <f>DATE(YEAR(S66+1),12,31)</f>
        <v>43830</v>
      </c>
      <c r="U66" s="661">
        <f t="shared" ref="U66:BI66" si="54">DATE(YEAR(T66+1),12,31)</f>
        <v>44196</v>
      </c>
      <c r="V66" s="661">
        <f t="shared" si="54"/>
        <v>44561</v>
      </c>
      <c r="W66" s="661">
        <f t="shared" si="54"/>
        <v>44926</v>
      </c>
      <c r="X66" s="661">
        <f t="shared" si="54"/>
        <v>45291</v>
      </c>
      <c r="Y66" s="661">
        <f t="shared" si="54"/>
        <v>45657</v>
      </c>
      <c r="Z66" s="661">
        <f t="shared" si="54"/>
        <v>46022</v>
      </c>
      <c r="AA66" s="661">
        <f t="shared" si="54"/>
        <v>46387</v>
      </c>
      <c r="AB66" s="661">
        <f t="shared" si="54"/>
        <v>46752</v>
      </c>
      <c r="AC66" s="661">
        <f t="shared" si="54"/>
        <v>47118</v>
      </c>
      <c r="AD66" s="661">
        <f t="shared" si="54"/>
        <v>47483</v>
      </c>
      <c r="AE66" s="661">
        <f t="shared" si="54"/>
        <v>47848</v>
      </c>
      <c r="AF66" s="661">
        <f t="shared" si="54"/>
        <v>48213</v>
      </c>
      <c r="AG66" s="661">
        <f t="shared" si="54"/>
        <v>48579</v>
      </c>
      <c r="AH66" s="661">
        <f t="shared" si="54"/>
        <v>48944</v>
      </c>
      <c r="AI66" s="661">
        <f t="shared" si="54"/>
        <v>49309</v>
      </c>
      <c r="AJ66" s="661">
        <f t="shared" si="54"/>
        <v>49674</v>
      </c>
      <c r="AK66" s="661">
        <f t="shared" si="54"/>
        <v>50040</v>
      </c>
      <c r="AL66" s="661">
        <f t="shared" si="54"/>
        <v>50405</v>
      </c>
      <c r="AM66" s="661">
        <f t="shared" si="54"/>
        <v>50770</v>
      </c>
      <c r="AN66" s="661">
        <f t="shared" si="54"/>
        <v>51135</v>
      </c>
      <c r="AO66" s="661">
        <f t="shared" si="54"/>
        <v>51501</v>
      </c>
      <c r="AP66" s="661">
        <f t="shared" si="54"/>
        <v>51866</v>
      </c>
      <c r="AQ66" s="661">
        <f t="shared" si="54"/>
        <v>52231</v>
      </c>
      <c r="AR66" s="661">
        <f t="shared" si="54"/>
        <v>52596</v>
      </c>
      <c r="AS66" s="661">
        <f t="shared" si="54"/>
        <v>52962</v>
      </c>
      <c r="AT66" s="661">
        <f t="shared" si="54"/>
        <v>53327</v>
      </c>
      <c r="AU66" s="661">
        <f t="shared" si="54"/>
        <v>53692</v>
      </c>
      <c r="AV66" s="661">
        <f t="shared" si="54"/>
        <v>54057</v>
      </c>
      <c r="AW66" s="661">
        <f t="shared" si="54"/>
        <v>54423</v>
      </c>
      <c r="AX66" s="661">
        <f t="shared" si="54"/>
        <v>54788</v>
      </c>
      <c r="AY66" s="661">
        <f t="shared" si="54"/>
        <v>55153</v>
      </c>
      <c r="AZ66" s="661">
        <f t="shared" si="54"/>
        <v>55518</v>
      </c>
      <c r="BA66" s="661">
        <f t="shared" si="54"/>
        <v>55884</v>
      </c>
      <c r="BB66" s="661">
        <f t="shared" si="54"/>
        <v>56249</v>
      </c>
      <c r="BC66" s="661">
        <f t="shared" si="54"/>
        <v>56614</v>
      </c>
      <c r="BD66" s="661">
        <f t="shared" si="54"/>
        <v>56979</v>
      </c>
      <c r="BE66" s="661">
        <f t="shared" si="54"/>
        <v>57345</v>
      </c>
      <c r="BF66" s="661">
        <f t="shared" si="54"/>
        <v>57710</v>
      </c>
      <c r="BG66" s="661">
        <f t="shared" si="54"/>
        <v>58075</v>
      </c>
      <c r="BH66" s="661">
        <f t="shared" si="54"/>
        <v>58440</v>
      </c>
      <c r="BI66" s="661">
        <f t="shared" si="54"/>
        <v>58806</v>
      </c>
    </row>
    <row r="67" spans="1:61">
      <c r="A67" s="8" t="s">
        <v>354</v>
      </c>
      <c r="B67" s="110" t="s">
        <v>341</v>
      </c>
      <c r="C67" s="13"/>
      <c r="D67" s="13"/>
      <c r="E67" s="13"/>
      <c r="F67" s="13"/>
      <c r="G67" s="13"/>
      <c r="H67" s="13"/>
      <c r="I67" s="13"/>
      <c r="J67" s="13"/>
      <c r="K67" s="13"/>
      <c r="L67" s="13"/>
      <c r="M67" s="13"/>
      <c r="N67" s="13"/>
      <c r="O67" s="13"/>
      <c r="P67" s="13"/>
      <c r="Q67" s="78"/>
      <c r="R67" s="78"/>
      <c r="S67" s="185">
        <f>$P$28*$Q$34*$Q$38/100*$S$46</f>
        <v>0</v>
      </c>
      <c r="T67" s="188">
        <f>S67*T$46</f>
        <v>0</v>
      </c>
      <c r="U67" s="10">
        <f t="shared" ref="U67:BI67" si="55">T67*U$46</f>
        <v>0</v>
      </c>
      <c r="V67" s="10">
        <f t="shared" si="55"/>
        <v>0</v>
      </c>
      <c r="W67" s="10">
        <f t="shared" si="55"/>
        <v>0</v>
      </c>
      <c r="X67" s="10">
        <f t="shared" si="55"/>
        <v>0</v>
      </c>
      <c r="Y67" s="10">
        <f t="shared" si="55"/>
        <v>0</v>
      </c>
      <c r="Z67" s="10">
        <f t="shared" si="55"/>
        <v>0</v>
      </c>
      <c r="AA67" s="10">
        <f t="shared" si="55"/>
        <v>0</v>
      </c>
      <c r="AB67" s="10">
        <f t="shared" si="55"/>
        <v>0</v>
      </c>
      <c r="AC67" s="10">
        <f t="shared" si="55"/>
        <v>0</v>
      </c>
      <c r="AD67" s="10">
        <f t="shared" si="55"/>
        <v>0</v>
      </c>
      <c r="AE67" s="10">
        <f t="shared" si="55"/>
        <v>0</v>
      </c>
      <c r="AF67" s="10">
        <f t="shared" si="55"/>
        <v>0</v>
      </c>
      <c r="AG67" s="10">
        <f t="shared" si="55"/>
        <v>0</v>
      </c>
      <c r="AH67" s="10">
        <f t="shared" si="55"/>
        <v>0</v>
      </c>
      <c r="AI67" s="10">
        <f t="shared" si="55"/>
        <v>0</v>
      </c>
      <c r="AJ67" s="10">
        <f t="shared" si="55"/>
        <v>0</v>
      </c>
      <c r="AK67" s="10">
        <f t="shared" si="55"/>
        <v>0</v>
      </c>
      <c r="AL67" s="10">
        <f t="shared" si="55"/>
        <v>0</v>
      </c>
      <c r="AM67" s="10">
        <f t="shared" si="55"/>
        <v>0</v>
      </c>
      <c r="AN67" s="10">
        <f t="shared" si="55"/>
        <v>0</v>
      </c>
      <c r="AO67" s="10">
        <f t="shared" si="55"/>
        <v>0</v>
      </c>
      <c r="AP67" s="10">
        <f t="shared" si="55"/>
        <v>0</v>
      </c>
      <c r="AQ67" s="10">
        <f t="shared" si="55"/>
        <v>0</v>
      </c>
      <c r="AR67" s="10">
        <f t="shared" si="55"/>
        <v>0</v>
      </c>
      <c r="AS67" s="10">
        <f t="shared" si="55"/>
        <v>0</v>
      </c>
      <c r="AT67" s="10">
        <f t="shared" si="55"/>
        <v>0</v>
      </c>
      <c r="AU67" s="10">
        <f t="shared" si="55"/>
        <v>0</v>
      </c>
      <c r="AV67" s="10">
        <f t="shared" si="55"/>
        <v>0</v>
      </c>
      <c r="AW67" s="10">
        <f t="shared" si="55"/>
        <v>0</v>
      </c>
      <c r="AX67" s="10">
        <f t="shared" si="55"/>
        <v>0</v>
      </c>
      <c r="AY67" s="10">
        <f t="shared" si="55"/>
        <v>0</v>
      </c>
      <c r="AZ67" s="10">
        <f t="shared" si="55"/>
        <v>0</v>
      </c>
      <c r="BA67" s="10">
        <f t="shared" si="55"/>
        <v>0</v>
      </c>
      <c r="BB67" s="10">
        <f t="shared" si="55"/>
        <v>0</v>
      </c>
      <c r="BC67" s="10">
        <f t="shared" si="55"/>
        <v>0</v>
      </c>
      <c r="BD67" s="10">
        <f t="shared" si="55"/>
        <v>0</v>
      </c>
      <c r="BE67" s="10">
        <f t="shared" si="55"/>
        <v>0</v>
      </c>
      <c r="BF67" s="10">
        <f t="shared" si="55"/>
        <v>0</v>
      </c>
      <c r="BG67" s="10">
        <f t="shared" si="55"/>
        <v>0</v>
      </c>
      <c r="BH67" s="10">
        <f t="shared" si="55"/>
        <v>0</v>
      </c>
      <c r="BI67" s="10">
        <f t="shared" si="55"/>
        <v>0</v>
      </c>
    </row>
    <row r="68" spans="1:61">
      <c r="A68" s="8" t="s">
        <v>355</v>
      </c>
      <c r="B68" s="110" t="s">
        <v>341</v>
      </c>
      <c r="C68" s="13"/>
      <c r="D68" s="13"/>
      <c r="E68" s="13"/>
      <c r="F68" s="13"/>
      <c r="G68" s="13"/>
      <c r="H68" s="13"/>
      <c r="I68" s="13"/>
      <c r="J68" s="13"/>
      <c r="K68" s="13"/>
      <c r="L68" s="13"/>
      <c r="M68" s="13"/>
      <c r="N68" s="13"/>
      <c r="O68" s="13"/>
      <c r="P68" s="13"/>
      <c r="Q68" s="78"/>
      <c r="R68" s="78"/>
      <c r="S68" s="185">
        <f>$T$28*$Q$34*$Q$38/100*$S$46</f>
        <v>0.64298432526951066</v>
      </c>
      <c r="T68" s="188">
        <f t="shared" ref="T68:BI68" si="56">S68*T$46</f>
        <v>0.67258384573174135</v>
      </c>
      <c r="U68" s="10">
        <f t="shared" si="56"/>
        <v>0.68844349868319188</v>
      </c>
      <c r="V68" s="10">
        <f t="shared" si="56"/>
        <v>0.74863585869911442</v>
      </c>
      <c r="W68" s="10">
        <f t="shared" si="56"/>
        <v>0.8805095103227869</v>
      </c>
      <c r="X68" s="10">
        <f t="shared" si="56"/>
        <v>0.98187186495938161</v>
      </c>
      <c r="Y68" s="10">
        <f t="shared" si="56"/>
        <v>0.99869205120393567</v>
      </c>
      <c r="Z68" s="10">
        <f t="shared" si="56"/>
        <v>1.0188267663111135</v>
      </c>
      <c r="AA68" s="10">
        <f t="shared" si="56"/>
        <v>1.0378898724170875</v>
      </c>
      <c r="AB68" s="10">
        <f t="shared" si="56"/>
        <v>1.0539463659135402</v>
      </c>
      <c r="AC68" s="10">
        <f t="shared" si="56"/>
        <v>1.070308465495696</v>
      </c>
      <c r="AD68" s="10">
        <f t="shared" si="56"/>
        <v>1.086488038870415</v>
      </c>
      <c r="AE68" s="10">
        <f t="shared" si="56"/>
        <v>1.102457964470309</v>
      </c>
      <c r="AF68" s="10">
        <f t="shared" si="56"/>
        <v>1.1173157756642709</v>
      </c>
      <c r="AG68" s="10">
        <f t="shared" si="56"/>
        <v>1.1314821200952947</v>
      </c>
      <c r="AH68" s="10">
        <f t="shared" si="56"/>
        <v>1.1460285750562815</v>
      </c>
      <c r="AI68" s="10">
        <f t="shared" si="56"/>
        <v>1.1608818907142671</v>
      </c>
      <c r="AJ68" s="10">
        <f t="shared" si="56"/>
        <v>1.174878543384539</v>
      </c>
      <c r="AK68" s="10">
        <f t="shared" si="56"/>
        <v>1.1885570798674008</v>
      </c>
      <c r="AL68" s="10">
        <f t="shared" si="56"/>
        <v>1.2018530798927629</v>
      </c>
      <c r="AM68" s="10">
        <f t="shared" si="56"/>
        <v>1.2147796244610549</v>
      </c>
      <c r="AN68" s="10">
        <f t="shared" si="56"/>
        <v>1.2266954582854113</v>
      </c>
      <c r="AO68" s="10">
        <f t="shared" si="56"/>
        <v>1.2375543642201541</v>
      </c>
      <c r="AP68" s="10">
        <f t="shared" si="56"/>
        <v>1.2479417711290111</v>
      </c>
      <c r="AQ68" s="10">
        <f t="shared" si="56"/>
        <v>1.257210257257632</v>
      </c>
      <c r="AR68" s="10">
        <f t="shared" si="56"/>
        <v>1.2659220872982353</v>
      </c>
      <c r="AS68" s="10">
        <f t="shared" si="56"/>
        <v>1.2747402580112286</v>
      </c>
      <c r="AT68" s="10">
        <f t="shared" si="56"/>
        <v>1.2837133802820668</v>
      </c>
      <c r="AU68" s="10">
        <f t="shared" si="56"/>
        <v>1.2927925537215919</v>
      </c>
      <c r="AV68" s="10">
        <f t="shared" si="56"/>
        <v>1.301978075290688</v>
      </c>
      <c r="AW68" s="10">
        <f t="shared" si="56"/>
        <v>1.3112796715458004</v>
      </c>
      <c r="AX68" s="10">
        <f t="shared" si="56"/>
        <v>1.3200016374347978</v>
      </c>
      <c r="AY68" s="10">
        <f t="shared" si="56"/>
        <v>1.3288424687835128</v>
      </c>
      <c r="AZ68" s="10">
        <f t="shared" si="56"/>
        <v>1.3378097192932616</v>
      </c>
      <c r="BA68" s="10">
        <f t="shared" si="56"/>
        <v>1.3469670942127199</v>
      </c>
      <c r="BB68" s="10">
        <f t="shared" si="56"/>
        <v>1.3569436072042778</v>
      </c>
      <c r="BC68" s="10">
        <f t="shared" si="56"/>
        <v>1.3670808932385567</v>
      </c>
      <c r="BD68" s="10">
        <f t="shared" si="56"/>
        <v>1.3773910225676433</v>
      </c>
      <c r="BE68" s="10">
        <f t="shared" si="56"/>
        <v>1.3878756605209235</v>
      </c>
      <c r="BF68" s="10">
        <f t="shared" si="56"/>
        <v>1.3992372677609652</v>
      </c>
      <c r="BG68" s="10">
        <f t="shared" si="56"/>
        <v>1.4108525338186007</v>
      </c>
      <c r="BH68" s="10">
        <f t="shared" si="56"/>
        <v>1.4226679628117367</v>
      </c>
      <c r="BI68" s="10">
        <f t="shared" si="56"/>
        <v>1.4353512568989104</v>
      </c>
    </row>
    <row r="69" spans="1:61">
      <c r="A69" s="8" t="s">
        <v>356</v>
      </c>
      <c r="B69" s="110" t="s">
        <v>341</v>
      </c>
      <c r="C69" s="13"/>
      <c r="D69" s="13"/>
      <c r="E69" s="13"/>
      <c r="F69" s="13"/>
      <c r="G69" s="13"/>
      <c r="H69" s="13"/>
      <c r="I69" s="13"/>
      <c r="J69" s="13"/>
      <c r="K69" s="13"/>
      <c r="L69" s="13"/>
      <c r="M69" s="13"/>
      <c r="N69" s="13"/>
      <c r="O69" s="13"/>
      <c r="P69" s="13"/>
      <c r="Q69" s="78"/>
      <c r="R69" s="78"/>
      <c r="S69" s="185">
        <f>$X$28*$Q$34*$Q$38/100*$S$46</f>
        <v>1.928952975808532</v>
      </c>
      <c r="T69" s="188">
        <f t="shared" ref="T69:BI69" si="57">S69*T$46</f>
        <v>2.0177515371952239</v>
      </c>
      <c r="U69" s="10">
        <f t="shared" si="57"/>
        <v>2.0653304960495755</v>
      </c>
      <c r="V69" s="10">
        <f t="shared" si="57"/>
        <v>2.245907576097343</v>
      </c>
      <c r="W69" s="10">
        <f t="shared" si="57"/>
        <v>2.6415285309683605</v>
      </c>
      <c r="X69" s="10">
        <f t="shared" si="57"/>
        <v>2.9456155948781446</v>
      </c>
      <c r="Y69" s="10">
        <f t="shared" si="57"/>
        <v>2.9960761536118068</v>
      </c>
      <c r="Z69" s="10">
        <f t="shared" si="57"/>
        <v>3.0564802989333404</v>
      </c>
      <c r="AA69" s="10">
        <f t="shared" si="57"/>
        <v>3.1136696172512628</v>
      </c>
      <c r="AB69" s="10">
        <f t="shared" si="57"/>
        <v>3.1618390977406206</v>
      </c>
      <c r="AC69" s="10">
        <f t="shared" si="57"/>
        <v>3.2109253964870885</v>
      </c>
      <c r="AD69" s="10">
        <f t="shared" si="57"/>
        <v>3.2594641166112455</v>
      </c>
      <c r="AE69" s="10">
        <f t="shared" si="57"/>
        <v>3.3073738934109276</v>
      </c>
      <c r="AF69" s="10">
        <f t="shared" si="57"/>
        <v>3.3519473269928128</v>
      </c>
      <c r="AG69" s="10">
        <f t="shared" si="57"/>
        <v>3.3944463602858841</v>
      </c>
      <c r="AH69" s="10">
        <f t="shared" si="57"/>
        <v>3.4380857251688446</v>
      </c>
      <c r="AI69" s="10">
        <f t="shared" si="57"/>
        <v>3.4826456721428012</v>
      </c>
      <c r="AJ69" s="10">
        <f t="shared" si="57"/>
        <v>3.5246356301536168</v>
      </c>
      <c r="AK69" s="10">
        <f t="shared" si="57"/>
        <v>3.5656712396022017</v>
      </c>
      <c r="AL69" s="10">
        <f t="shared" si="57"/>
        <v>3.6055592396782883</v>
      </c>
      <c r="AM69" s="10">
        <f t="shared" si="57"/>
        <v>3.6443388733831643</v>
      </c>
      <c r="AN69" s="10">
        <f t="shared" si="57"/>
        <v>3.6800863748562329</v>
      </c>
      <c r="AO69" s="10">
        <f t="shared" si="57"/>
        <v>3.7126630926604616</v>
      </c>
      <c r="AP69" s="10">
        <f t="shared" si="57"/>
        <v>3.7438253133870325</v>
      </c>
      <c r="AQ69" s="10">
        <f t="shared" si="57"/>
        <v>3.7716307717728954</v>
      </c>
      <c r="AR69" s="10">
        <f t="shared" si="57"/>
        <v>3.7977662618947052</v>
      </c>
      <c r="AS69" s="10">
        <f t="shared" si="57"/>
        <v>3.8242207740336847</v>
      </c>
      <c r="AT69" s="10">
        <f t="shared" si="57"/>
        <v>3.8511401408461992</v>
      </c>
      <c r="AU69" s="10">
        <f t="shared" si="57"/>
        <v>3.8783776611647744</v>
      </c>
      <c r="AV69" s="10">
        <f t="shared" si="57"/>
        <v>3.9059342258720626</v>
      </c>
      <c r="AW69" s="10">
        <f t="shared" si="57"/>
        <v>3.9338390146373996</v>
      </c>
      <c r="AX69" s="10">
        <f t="shared" si="57"/>
        <v>3.9600049123043917</v>
      </c>
      <c r="AY69" s="10">
        <f t="shared" si="57"/>
        <v>3.9865274063505365</v>
      </c>
      <c r="AZ69" s="10">
        <f t="shared" si="57"/>
        <v>4.0134291578797825</v>
      </c>
      <c r="BA69" s="10">
        <f t="shared" si="57"/>
        <v>4.0409012826381572</v>
      </c>
      <c r="BB69" s="10">
        <f t="shared" si="57"/>
        <v>4.0708308216128311</v>
      </c>
      <c r="BC69" s="10">
        <f t="shared" si="57"/>
        <v>4.1012426797156678</v>
      </c>
      <c r="BD69" s="10">
        <f t="shared" si="57"/>
        <v>4.1321730677029276</v>
      </c>
      <c r="BE69" s="10">
        <f t="shared" si="57"/>
        <v>4.1636269815627678</v>
      </c>
      <c r="BF69" s="10">
        <f t="shared" si="57"/>
        <v>4.1977118032828926</v>
      </c>
      <c r="BG69" s="10">
        <f t="shared" si="57"/>
        <v>4.2325576014557988</v>
      </c>
      <c r="BH69" s="10">
        <f t="shared" si="57"/>
        <v>4.2680038884352065</v>
      </c>
      <c r="BI69" s="10">
        <f t="shared" si="57"/>
        <v>4.3060537706967272</v>
      </c>
    </row>
    <row r="70" spans="1:61">
      <c r="A70" s="760" t="s">
        <v>569</v>
      </c>
      <c r="B70" s="760"/>
      <c r="C70" s="760"/>
      <c r="D70" s="760"/>
      <c r="E70" s="760"/>
      <c r="F70" s="760"/>
      <c r="G70" s="760"/>
      <c r="H70" s="760"/>
      <c r="I70" s="760"/>
      <c r="J70" s="760"/>
      <c r="K70" s="760"/>
      <c r="L70" s="760"/>
      <c r="M70" s="760"/>
      <c r="N70" s="760"/>
      <c r="O70" s="760"/>
      <c r="P70" s="760"/>
      <c r="Q70" s="760"/>
      <c r="R70" s="760"/>
      <c r="S70" s="760"/>
      <c r="T70" s="760"/>
      <c r="U70" s="760"/>
      <c r="V70" s="760"/>
    </row>
    <row r="71" spans="1:61" s="672" customFormat="1">
      <c r="A71" s="761"/>
      <c r="B71" s="761"/>
      <c r="C71" s="761"/>
      <c r="D71" s="761"/>
      <c r="E71" s="761"/>
      <c r="F71" s="761"/>
      <c r="G71" s="761"/>
      <c r="H71" s="761"/>
      <c r="I71" s="761"/>
      <c r="J71" s="761"/>
      <c r="K71" s="761"/>
      <c r="L71" s="761"/>
      <c r="M71" s="761"/>
      <c r="N71" s="761"/>
      <c r="O71" s="761"/>
      <c r="P71" s="761"/>
      <c r="Q71" s="761"/>
      <c r="R71" s="761"/>
      <c r="S71" s="761"/>
      <c r="T71" s="761"/>
      <c r="U71" s="761"/>
      <c r="V71" s="761"/>
    </row>
    <row r="72" spans="1:61"/>
    <row r="73" spans="1:61" hidden="1"/>
  </sheetData>
  <mergeCells count="70">
    <mergeCell ref="A25:A27"/>
    <mergeCell ref="B25:B27"/>
    <mergeCell ref="P17:Q17"/>
    <mergeCell ref="R17:S17"/>
    <mergeCell ref="T17:U17"/>
    <mergeCell ref="A19:AA20"/>
    <mergeCell ref="X15:AA15"/>
    <mergeCell ref="X16:Y16"/>
    <mergeCell ref="Z16:AA16"/>
    <mergeCell ref="P25:S25"/>
    <mergeCell ref="P26:S26"/>
    <mergeCell ref="T25:W25"/>
    <mergeCell ref="T26:W26"/>
    <mergeCell ref="X25:AA25"/>
    <mergeCell ref="P15:S15"/>
    <mergeCell ref="P16:Q16"/>
    <mergeCell ref="R16:S16"/>
    <mergeCell ref="T15:W15"/>
    <mergeCell ref="T16:U16"/>
    <mergeCell ref="V16:W16"/>
    <mergeCell ref="V17:W17"/>
    <mergeCell ref="P5:S5"/>
    <mergeCell ref="T5:W5"/>
    <mergeCell ref="X5:AA5"/>
    <mergeCell ref="P6:Q6"/>
    <mergeCell ref="R6:S6"/>
    <mergeCell ref="T6:U6"/>
    <mergeCell ref="V6:W6"/>
    <mergeCell ref="X6:Y6"/>
    <mergeCell ref="Z6:AA6"/>
    <mergeCell ref="P7:Q7"/>
    <mergeCell ref="P8:Q8"/>
    <mergeCell ref="P9:Q9"/>
    <mergeCell ref="P10:Q10"/>
    <mergeCell ref="R7:S7"/>
    <mergeCell ref="R8:S8"/>
    <mergeCell ref="R9:S9"/>
    <mergeCell ref="R10:S10"/>
    <mergeCell ref="T7:U7"/>
    <mergeCell ref="T8:U8"/>
    <mergeCell ref="T9:U9"/>
    <mergeCell ref="T10:U10"/>
    <mergeCell ref="V7:W7"/>
    <mergeCell ref="V8:W8"/>
    <mergeCell ref="V9:W9"/>
    <mergeCell ref="V10:W10"/>
    <mergeCell ref="X7:Y7"/>
    <mergeCell ref="X8:Y8"/>
    <mergeCell ref="X9:Y9"/>
    <mergeCell ref="X10:Y10"/>
    <mergeCell ref="Z7:AA7"/>
    <mergeCell ref="Z8:AA8"/>
    <mergeCell ref="Z9:AA9"/>
    <mergeCell ref="Z10:AA10"/>
    <mergeCell ref="A70:V71"/>
    <mergeCell ref="A29:AA30"/>
    <mergeCell ref="A50:V51"/>
    <mergeCell ref="A62:V63"/>
    <mergeCell ref="X17:Y17"/>
    <mergeCell ref="Z17:AA17"/>
    <mergeCell ref="X26:AA26"/>
    <mergeCell ref="X27:AA27"/>
    <mergeCell ref="P28:S28"/>
    <mergeCell ref="T28:W28"/>
    <mergeCell ref="X28:AA28"/>
    <mergeCell ref="A41:V42"/>
    <mergeCell ref="A65:A66"/>
    <mergeCell ref="P27:S27"/>
    <mergeCell ref="T27:W27"/>
    <mergeCell ref="A53:A54"/>
  </mergeCells>
  <hyperlinks>
    <hyperlink ref="A43" location="Indeksacja!A29" display="Nota metodologiczna"/>
  </hyperlink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32"/>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0" defaultRowHeight="15" zeroHeight="1" outlineLevelRow="1" outlineLevelCol="1"/>
  <cols>
    <col min="1" max="1" width="30.7109375" style="179" customWidth="1"/>
    <col min="2" max="2" width="9.140625" style="179" customWidth="1"/>
    <col min="3" max="15" width="1.7109375" style="179" hidden="1" customWidth="1" outlineLevel="1"/>
    <col min="16" max="16" width="9.140625" style="179" customWidth="1" collapsed="1"/>
    <col min="17" max="18" width="9.140625" style="179" customWidth="1"/>
    <col min="19" max="19" width="13.7109375" style="179" customWidth="1"/>
    <col min="20" max="20" width="12.7109375" style="179" customWidth="1"/>
    <col min="21" max="25" width="13.7109375" style="179" customWidth="1"/>
    <col min="26" max="38" width="9.140625" style="179" customWidth="1"/>
    <col min="39" max="39" width="10.7109375" style="179" customWidth="1"/>
    <col min="40" max="62" width="9.140625" style="179" customWidth="1"/>
    <col min="63" max="16384" width="9.140625" style="179" hidden="1"/>
  </cols>
  <sheetData>
    <row r="1" spans="1:61" ht="21">
      <c r="A1" s="4" t="s">
        <v>570</v>
      </c>
      <c r="B1" s="5"/>
      <c r="C1" s="88"/>
      <c r="D1" s="88"/>
      <c r="E1" s="88"/>
      <c r="F1" s="88"/>
      <c r="G1" s="88"/>
      <c r="H1" s="88"/>
      <c r="I1" s="88"/>
      <c r="J1" s="88"/>
      <c r="K1" s="88"/>
      <c r="L1" s="5"/>
      <c r="M1" s="88"/>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row>
    <row r="2" spans="1:61">
      <c r="A2" s="179" t="str">
        <f>Indeksacja!$A$2</f>
        <v>Dla roku bazowego 2024 właściwe do zastosowania w analizie są wartości kosztów jednostkowych określone według poziomu cenowego z końca roku poprzedniego, tzn. 2023.</v>
      </c>
    </row>
    <row r="3" spans="1:61"/>
    <row r="4" spans="1:61">
      <c r="A4" s="1" t="s">
        <v>571</v>
      </c>
    </row>
    <row r="5" spans="1:61" hidden="1" outlineLevel="1">
      <c r="A5" s="1"/>
    </row>
    <row r="6" spans="1:61" s="197" customFormat="1" hidden="1" outlineLevel="1">
      <c r="A6" s="1"/>
      <c r="P6" s="1" t="s">
        <v>117</v>
      </c>
      <c r="V6" s="1" t="s">
        <v>113</v>
      </c>
      <c r="W6" s="1"/>
      <c r="Y6" s="1" t="s">
        <v>114</v>
      </c>
      <c r="Z6" s="1"/>
      <c r="AB6" s="1" t="s">
        <v>115</v>
      </c>
      <c r="AC6" s="1"/>
      <c r="AG6" s="1"/>
    </row>
    <row r="7" spans="1:61" s="197" customFormat="1" hidden="1" outlineLevel="1">
      <c r="A7" s="1"/>
      <c r="P7" s="156" t="s">
        <v>72</v>
      </c>
      <c r="Q7" s="157"/>
      <c r="R7" s="157"/>
      <c r="S7" s="168">
        <v>2030</v>
      </c>
      <c r="T7" s="168">
        <v>2050</v>
      </c>
      <c r="V7" s="168">
        <v>2030</v>
      </c>
      <c r="W7" s="168">
        <v>2050</v>
      </c>
      <c r="Y7" s="168">
        <v>2030</v>
      </c>
      <c r="Z7" s="168">
        <v>2050</v>
      </c>
      <c r="AB7" s="168">
        <v>2030</v>
      </c>
      <c r="AC7" s="168">
        <v>2050</v>
      </c>
      <c r="AG7" s="1"/>
    </row>
    <row r="8" spans="1:61" s="197" customFormat="1" hidden="1" outlineLevel="1">
      <c r="A8" s="1"/>
      <c r="P8" s="155" t="s">
        <v>73</v>
      </c>
      <c r="Q8" s="119"/>
      <c r="R8" s="119"/>
      <c r="S8" s="169">
        <v>0.27400000000000002</v>
      </c>
      <c r="T8" s="169">
        <v>0.17299999999999999</v>
      </c>
      <c r="V8" s="169">
        <v>0.26900000000000002</v>
      </c>
      <c r="W8" s="169">
        <v>0.154</v>
      </c>
      <c r="Y8" s="169">
        <v>0.26500000000000001</v>
      </c>
      <c r="Z8" s="169">
        <v>0.105</v>
      </c>
      <c r="AB8" s="169">
        <v>0.26100000000000001</v>
      </c>
      <c r="AC8" s="169">
        <v>9.4E-2</v>
      </c>
      <c r="AG8" s="1"/>
    </row>
    <row r="9" spans="1:61" s="197" customFormat="1" hidden="1" outlineLevel="1">
      <c r="A9" s="1"/>
      <c r="P9" s="155" t="s">
        <v>74</v>
      </c>
      <c r="Q9" s="119"/>
      <c r="R9" s="119"/>
      <c r="S9" s="169">
        <f>100%-SUM(S8,S10,S11,S12,S13)</f>
        <v>9.9999999999988987E-4</v>
      </c>
      <c r="T9" s="169">
        <f>100%-SUM(T8,T10,T11,T12,T13)</f>
        <v>9.000000000000008E-3</v>
      </c>
      <c r="V9" s="169">
        <f t="shared" ref="V9:W9" si="0">100%-SUM(V8,V10,V11,V12,V13)</f>
        <v>1.9999999999998908E-3</v>
      </c>
      <c r="W9" s="169">
        <f t="shared" si="0"/>
        <v>9.000000000000119E-3</v>
      </c>
      <c r="Y9" s="169">
        <f t="shared" ref="Y9:Z9" si="1">100%-SUM(Y8,Y10,Y11,Y12,Y13)</f>
        <v>9.9999999999988987E-4</v>
      </c>
      <c r="Z9" s="169">
        <f t="shared" si="1"/>
        <v>6.0000000000000053E-3</v>
      </c>
      <c r="AB9" s="169">
        <f t="shared" ref="AB9:AC9" si="2">100%-SUM(AB8,AB10,AB11,AB12,AB13)</f>
        <v>2.0000000000000018E-3</v>
      </c>
      <c r="AC9" s="169">
        <f t="shared" si="2"/>
        <v>6.0000000000000053E-3</v>
      </c>
      <c r="AG9" s="1"/>
    </row>
    <row r="10" spans="1:61" s="197" customFormat="1" hidden="1" outlineLevel="1">
      <c r="A10" s="1"/>
      <c r="P10" s="155" t="s">
        <v>75</v>
      </c>
      <c r="Q10" s="119"/>
      <c r="R10" s="119"/>
      <c r="S10" s="169">
        <v>0.122</v>
      </c>
      <c r="T10" s="169">
        <v>9.8000000000000004E-2</v>
      </c>
      <c r="V10" s="169">
        <v>0.12</v>
      </c>
      <c r="W10" s="169">
        <v>8.6999999999999994E-2</v>
      </c>
      <c r="Y10" s="169">
        <v>0.11700000000000001</v>
      </c>
      <c r="Z10" s="169">
        <v>5.8000000000000003E-2</v>
      </c>
      <c r="AB10" s="169">
        <v>0.11600000000000001</v>
      </c>
      <c r="AC10" s="169">
        <v>5.1999999999999998E-2</v>
      </c>
      <c r="AG10" s="1"/>
    </row>
    <row r="11" spans="1:61" s="197" customFormat="1" hidden="1" outlineLevel="1">
      <c r="A11" s="1"/>
      <c r="P11" s="155" t="s">
        <v>76</v>
      </c>
      <c r="Q11" s="119"/>
      <c r="R11" s="119"/>
      <c r="S11" s="169">
        <v>0.52500000000000002</v>
      </c>
      <c r="T11" s="169">
        <v>0.38900000000000001</v>
      </c>
      <c r="V11" s="169">
        <v>0.52700000000000002</v>
      </c>
      <c r="W11" s="169">
        <v>0.371</v>
      </c>
      <c r="Y11" s="169">
        <v>0.502</v>
      </c>
      <c r="Z11" s="169">
        <v>0.218</v>
      </c>
      <c r="AB11" s="169">
        <v>0.503</v>
      </c>
      <c r="AC11" s="169">
        <v>0.20499999999999999</v>
      </c>
      <c r="AG11" s="1"/>
    </row>
    <row r="12" spans="1:61" s="197" customFormat="1" hidden="1" outlineLevel="1">
      <c r="A12" s="1"/>
      <c r="P12" s="155" t="s">
        <v>90</v>
      </c>
      <c r="Q12" s="119"/>
      <c r="R12" s="119"/>
      <c r="S12" s="169">
        <v>3.9E-2</v>
      </c>
      <c r="T12" s="169">
        <v>9.9000000000000005E-2</v>
      </c>
      <c r="V12" s="169">
        <v>0.04</v>
      </c>
      <c r="W12" s="169">
        <v>9.6000000000000002E-2</v>
      </c>
      <c r="Y12" s="169">
        <v>5.3999999999999999E-2</v>
      </c>
      <c r="Z12" s="169">
        <v>0.123</v>
      </c>
      <c r="AB12" s="169">
        <v>5.1999999999999998E-2</v>
      </c>
      <c r="AC12" s="169">
        <v>0.1</v>
      </c>
      <c r="AG12" s="1"/>
    </row>
    <row r="13" spans="1:61" s="197" customFormat="1" hidden="1" outlineLevel="1">
      <c r="A13" s="1"/>
      <c r="P13" s="155" t="s">
        <v>77</v>
      </c>
      <c r="Q13" s="119"/>
      <c r="R13" s="119"/>
      <c r="S13" s="169">
        <v>3.9E-2</v>
      </c>
      <c r="T13" s="169">
        <v>0.23200000000000001</v>
      </c>
      <c r="V13" s="169">
        <v>4.2000000000000003E-2</v>
      </c>
      <c r="W13" s="169">
        <v>0.28299999999999997</v>
      </c>
      <c r="Y13" s="169">
        <v>6.0999999999999999E-2</v>
      </c>
      <c r="Z13" s="169">
        <v>0.49</v>
      </c>
      <c r="AB13" s="169">
        <v>6.6000000000000003E-2</v>
      </c>
      <c r="AC13" s="169">
        <v>0.54300000000000004</v>
      </c>
      <c r="AG13" s="1"/>
    </row>
    <row r="14" spans="1:61" s="197" customFormat="1" hidden="1" outlineLevel="1">
      <c r="A14" s="1"/>
      <c r="S14" s="199" t="b">
        <f>SUM(S8:S13)=100%</f>
        <v>1</v>
      </c>
      <c r="T14" s="199" t="b">
        <f>SUM(T8:T13)=100%</f>
        <v>1</v>
      </c>
      <c r="V14" s="199" t="b">
        <f t="shared" ref="V14:W14" si="3">SUM(V8:V13)=100%</f>
        <v>1</v>
      </c>
      <c r="W14" s="199" t="b">
        <f t="shared" si="3"/>
        <v>1</v>
      </c>
      <c r="Y14" s="199" t="b">
        <f t="shared" ref="Y14:Z14" si="4">SUM(Y8:Y13)=100%</f>
        <v>1</v>
      </c>
      <c r="Z14" s="199" t="b">
        <f t="shared" si="4"/>
        <v>1</v>
      </c>
      <c r="AB14" s="199" t="b">
        <f t="shared" ref="AB14:AC14" si="5">SUM(AB8:AB13)=100%</f>
        <v>1</v>
      </c>
      <c r="AC14" s="199" t="b">
        <f t="shared" si="5"/>
        <v>1</v>
      </c>
      <c r="AG14" s="1"/>
    </row>
    <row r="15" spans="1:61" s="197" customFormat="1" ht="18" hidden="1" outlineLevel="1">
      <c r="A15"/>
      <c r="B15"/>
      <c r="C15"/>
      <c r="D15"/>
      <c r="E15"/>
      <c r="F15"/>
      <c r="G15"/>
      <c r="H15"/>
      <c r="I15"/>
      <c r="J15"/>
      <c r="K15"/>
      <c r="L15"/>
      <c r="M15"/>
      <c r="N15"/>
      <c r="O15"/>
      <c r="P15" s="35" t="s">
        <v>572</v>
      </c>
      <c r="Q15"/>
      <c r="R15"/>
      <c r="S15"/>
      <c r="T15"/>
      <c r="U15"/>
      <c r="V15"/>
      <c r="W15"/>
      <c r="X15"/>
      <c r="Y15"/>
      <c r="Z15"/>
      <c r="AA15"/>
      <c r="AB15"/>
      <c r="AC15"/>
      <c r="AD15"/>
      <c r="AE15"/>
      <c r="AF15"/>
      <c r="AG15"/>
      <c r="AH15"/>
      <c r="AI15"/>
      <c r="AJ15"/>
      <c r="AK15"/>
      <c r="AL15"/>
      <c r="AM15"/>
      <c r="AN15"/>
      <c r="AO15"/>
      <c r="AP15"/>
      <c r="AQ15"/>
      <c r="AR15"/>
      <c r="AS15"/>
      <c r="AT15"/>
    </row>
    <row r="16" spans="1:61" s="197" customFormat="1" hidden="1" outlineLevel="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row>
    <row r="17" spans="1:45" s="197" customFormat="1" hidden="1" outlineLevel="1">
      <c r="A17" s="1"/>
      <c r="P17" s="1" t="s">
        <v>116</v>
      </c>
      <c r="Q17" s="179"/>
      <c r="R17" s="179"/>
      <c r="S17" s="179"/>
      <c r="T17" s="179"/>
      <c r="U17" s="179"/>
      <c r="V17" s="179"/>
      <c r="W17" s="1" t="s">
        <v>112</v>
      </c>
      <c r="X17" s="179"/>
      <c r="Y17" s="179"/>
      <c r="Z17" s="179"/>
      <c r="AA17" s="179"/>
      <c r="AB17" s="179"/>
      <c r="AC17" s="179"/>
      <c r="AD17" s="179"/>
      <c r="AE17" s="179"/>
      <c r="AF17" s="179"/>
      <c r="AG17" s="1" t="s">
        <v>575</v>
      </c>
    </row>
    <row r="18" spans="1:45" ht="30" hidden="1" customHeight="1" outlineLevel="1">
      <c r="P18" s="156" t="s">
        <v>72</v>
      </c>
      <c r="Q18" s="157"/>
      <c r="R18" s="157"/>
      <c r="S18" s="167" t="s">
        <v>79</v>
      </c>
      <c r="T18" s="168">
        <v>2030</v>
      </c>
      <c r="U18" s="168">
        <v>2050</v>
      </c>
      <c r="W18" s="156" t="s">
        <v>72</v>
      </c>
      <c r="X18" s="157"/>
      <c r="Y18" s="167" t="s">
        <v>79</v>
      </c>
      <c r="Z18" s="168">
        <v>2030</v>
      </c>
      <c r="AA18" s="168">
        <v>2050</v>
      </c>
      <c r="AG18" s="156" t="s">
        <v>72</v>
      </c>
      <c r="AH18" s="157"/>
      <c r="AI18" s="157"/>
      <c r="AJ18" s="157"/>
      <c r="AK18" s="157"/>
      <c r="AL18" s="803" t="s">
        <v>71</v>
      </c>
      <c r="AM18" s="804"/>
      <c r="AN18" s="803" t="s">
        <v>576</v>
      </c>
      <c r="AO18" s="804"/>
      <c r="AP18" s="164" t="s">
        <v>93</v>
      </c>
      <c r="AQ18" s="164" t="s">
        <v>84</v>
      </c>
      <c r="AR18" s="803" t="s">
        <v>85</v>
      </c>
      <c r="AS18" s="804"/>
    </row>
    <row r="19" spans="1:45" hidden="1" outlineLevel="1">
      <c r="P19" s="155" t="s">
        <v>73</v>
      </c>
      <c r="Q19" s="119"/>
      <c r="R19" s="119"/>
      <c r="S19" s="169">
        <f>AM20/SUM($AM$19:$AM$22)</f>
        <v>0.32096401495455057</v>
      </c>
      <c r="T19" s="169">
        <f>S8</f>
        <v>0.27400000000000002</v>
      </c>
      <c r="U19" s="169">
        <f t="shared" ref="U19:U24" si="6">T8</f>
        <v>0.17299999999999999</v>
      </c>
      <c r="W19" s="155" t="str">
        <f t="shared" ref="W19:W24" si="7">P19</f>
        <v>Olej napędowy</v>
      </c>
      <c r="X19" s="119"/>
      <c r="Y19" s="169">
        <f>100%-SUM(Y20,Y21,Y22,Y23,Y24)</f>
        <v>1</v>
      </c>
      <c r="Z19" s="169">
        <f>100%-SUM(Z20,Z21,Z22,Z23,Z24)</f>
        <v>1</v>
      </c>
      <c r="AA19" s="169">
        <f>100%-SUM(AA20,AA21,AA22,AA23,AA24)</f>
        <v>1</v>
      </c>
      <c r="AG19" s="165" t="s">
        <v>76</v>
      </c>
      <c r="AH19" s="119"/>
      <c r="AI19" s="119"/>
      <c r="AJ19" s="119"/>
      <c r="AK19" s="119"/>
      <c r="AL19" s="160">
        <f>AM19/$AM$26</f>
        <v>0.53795127330859149</v>
      </c>
      <c r="AM19" s="158">
        <v>12787991</v>
      </c>
      <c r="AN19" s="160">
        <f>AO19/$AO$26</f>
        <v>0.17561347134022764</v>
      </c>
      <c r="AO19" s="158">
        <f t="shared" ref="AO19:AO25" si="8">SUM(AP19,AQ19)</f>
        <v>620945</v>
      </c>
      <c r="AP19" s="162">
        <v>619344</v>
      </c>
      <c r="AQ19" s="162">
        <v>1601</v>
      </c>
      <c r="AR19" s="160">
        <f>AS19/$AS$26</f>
        <v>3.9739010058180618E-2</v>
      </c>
      <c r="AS19" s="158">
        <v>4105</v>
      </c>
    </row>
    <row r="20" spans="1:45" hidden="1" outlineLevel="1">
      <c r="P20" s="155" t="s">
        <v>74</v>
      </c>
      <c r="Q20" s="119"/>
      <c r="R20" s="119"/>
      <c r="S20" s="169">
        <v>0</v>
      </c>
      <c r="T20" s="169">
        <f t="shared" ref="T20:T24" si="9">S9</f>
        <v>9.9999999999988987E-4</v>
      </c>
      <c r="U20" s="169">
        <f t="shared" si="6"/>
        <v>9.000000000000008E-3</v>
      </c>
      <c r="W20" s="155" t="str">
        <f t="shared" si="7"/>
        <v>Gaz CNG</v>
      </c>
      <c r="X20" s="119"/>
      <c r="Y20" s="169">
        <v>0</v>
      </c>
      <c r="Z20" s="169">
        <v>0</v>
      </c>
      <c r="AA20" s="169">
        <v>0</v>
      </c>
      <c r="AG20" s="165" t="s">
        <v>73</v>
      </c>
      <c r="AH20" s="119"/>
      <c r="AI20" s="119"/>
      <c r="AJ20" s="119"/>
      <c r="AK20" s="119"/>
      <c r="AL20" s="160">
        <f t="shared" ref="AL20:AL26" si="10">AM20/$AM$26</f>
        <v>0.32055015273864212</v>
      </c>
      <c r="AM20" s="158">
        <v>7620007</v>
      </c>
      <c r="AN20" s="160">
        <f t="shared" ref="AN20:AN26" si="11">AO20/$AO$26</f>
        <v>0.77277931095727148</v>
      </c>
      <c r="AO20" s="158">
        <f t="shared" si="8"/>
        <v>2732441</v>
      </c>
      <c r="AP20" s="162">
        <v>2330551</v>
      </c>
      <c r="AQ20" s="162">
        <v>401890</v>
      </c>
      <c r="AR20" s="160">
        <f t="shared" ref="AR20:AR26" si="12">AS20/$AS$26</f>
        <v>0.94221628476558339</v>
      </c>
      <c r="AS20" s="158">
        <v>97330</v>
      </c>
    </row>
    <row r="21" spans="1:45" hidden="1" outlineLevel="1">
      <c r="P21" s="155" t="s">
        <v>75</v>
      </c>
      <c r="Q21" s="119"/>
      <c r="R21" s="119"/>
      <c r="S21" s="169">
        <f>AM21/SUM($AM$19:$AM$22)</f>
        <v>0.14016359293359199</v>
      </c>
      <c r="T21" s="169">
        <f t="shared" si="9"/>
        <v>0.122</v>
      </c>
      <c r="U21" s="169">
        <f t="shared" si="6"/>
        <v>9.8000000000000004E-2</v>
      </c>
      <c r="W21" s="155" t="str">
        <f t="shared" si="7"/>
        <v>Gaz LPG</v>
      </c>
      <c r="X21" s="119"/>
      <c r="Y21" s="169">
        <v>0</v>
      </c>
      <c r="Z21" s="169">
        <v>0</v>
      </c>
      <c r="AA21" s="169">
        <v>0</v>
      </c>
      <c r="AG21" s="165" t="s">
        <v>80</v>
      </c>
      <c r="AH21" s="119"/>
      <c r="AI21" s="119"/>
      <c r="AJ21" s="119"/>
      <c r="AK21" s="119"/>
      <c r="AL21" s="160">
        <f t="shared" si="10"/>
        <v>0.13998286109931019</v>
      </c>
      <c r="AM21" s="158">
        <v>3327624</v>
      </c>
      <c r="AN21" s="160">
        <f t="shared" si="11"/>
        <v>4.9846402376563341E-2</v>
      </c>
      <c r="AO21" s="158">
        <f t="shared" si="8"/>
        <v>176250</v>
      </c>
      <c r="AP21" s="162">
        <v>174294</v>
      </c>
      <c r="AQ21" s="162">
        <v>1956</v>
      </c>
      <c r="AR21" s="160">
        <f t="shared" si="12"/>
        <v>7.5024927637247218E-3</v>
      </c>
      <c r="AS21" s="158">
        <v>775</v>
      </c>
    </row>
    <row r="22" spans="1:45" hidden="1" outlineLevel="1">
      <c r="P22" s="155" t="s">
        <v>76</v>
      </c>
      <c r="Q22" s="119"/>
      <c r="R22" s="119"/>
      <c r="S22" s="169">
        <f>100%-SUM(S19,S20,S21,S23,S24)</f>
        <v>0.53887239211185745</v>
      </c>
      <c r="T22" s="169">
        <f t="shared" si="9"/>
        <v>0.52500000000000002</v>
      </c>
      <c r="U22" s="169">
        <f t="shared" si="6"/>
        <v>0.38900000000000001</v>
      </c>
      <c r="W22" s="155" t="str">
        <f t="shared" si="7"/>
        <v>Benzyna</v>
      </c>
      <c r="X22" s="119"/>
      <c r="Y22" s="169">
        <v>0</v>
      </c>
      <c r="Z22" s="169">
        <v>0</v>
      </c>
      <c r="AA22" s="169">
        <v>0</v>
      </c>
      <c r="AG22" s="165" t="s">
        <v>81</v>
      </c>
      <c r="AH22" s="119"/>
      <c r="AI22" s="119"/>
      <c r="AJ22" s="119"/>
      <c r="AK22" s="119"/>
      <c r="AL22" s="160">
        <f t="shared" si="10"/>
        <v>2.2627791176322489E-4</v>
      </c>
      <c r="AM22" s="158">
        <v>5379</v>
      </c>
      <c r="AN22" s="160">
        <f t="shared" si="11"/>
        <v>1.3329140107843575E-3</v>
      </c>
      <c r="AO22" s="158">
        <f t="shared" si="8"/>
        <v>4713</v>
      </c>
      <c r="AP22" s="162">
        <v>2846</v>
      </c>
      <c r="AQ22" s="162">
        <v>1867</v>
      </c>
      <c r="AR22" s="160">
        <f t="shared" si="12"/>
        <v>7.2701575039448591E-3</v>
      </c>
      <c r="AS22" s="158">
        <v>751</v>
      </c>
    </row>
    <row r="23" spans="1:45" hidden="1" outlineLevel="1">
      <c r="P23" s="155" t="s">
        <v>90</v>
      </c>
      <c r="Q23" s="119"/>
      <c r="R23" s="119"/>
      <c r="S23" s="169">
        <v>0</v>
      </c>
      <c r="T23" s="169">
        <f t="shared" si="9"/>
        <v>3.9E-2</v>
      </c>
      <c r="U23" s="169">
        <f t="shared" si="6"/>
        <v>9.9000000000000005E-2</v>
      </c>
      <c r="W23" s="155" t="str">
        <f t="shared" si="7"/>
        <v>Hybrydowe (paliwa +elektryczne)</v>
      </c>
      <c r="X23" s="119"/>
      <c r="Y23" s="169">
        <v>0</v>
      </c>
      <c r="Z23" s="169">
        <v>0</v>
      </c>
      <c r="AA23" s="169">
        <v>0</v>
      </c>
      <c r="AG23" s="165" t="s">
        <v>82</v>
      </c>
      <c r="AH23" s="119"/>
      <c r="AI23" s="119"/>
      <c r="AJ23" s="119"/>
      <c r="AK23" s="119"/>
      <c r="AL23" s="160">
        <f t="shared" si="10"/>
        <v>2.1857966713547433E-4</v>
      </c>
      <c r="AM23" s="158">
        <v>5196</v>
      </c>
      <c r="AN23" s="160">
        <f t="shared" si="11"/>
        <v>4.1771992232728539E-4</v>
      </c>
      <c r="AO23" s="158">
        <f t="shared" si="8"/>
        <v>1477</v>
      </c>
      <c r="AP23" s="162">
        <v>1416</v>
      </c>
      <c r="AQ23" s="162">
        <v>61</v>
      </c>
      <c r="AR23" s="160">
        <f t="shared" si="12"/>
        <v>3.2720549085663948E-3</v>
      </c>
      <c r="AS23" s="158">
        <v>338</v>
      </c>
    </row>
    <row r="24" spans="1:45" hidden="1" outlineLevel="1">
      <c r="P24" s="155" t="s">
        <v>77</v>
      </c>
      <c r="Q24" s="119"/>
      <c r="R24" s="119"/>
      <c r="S24" s="169">
        <v>0</v>
      </c>
      <c r="T24" s="169">
        <f t="shared" si="9"/>
        <v>3.9E-2</v>
      </c>
      <c r="U24" s="169">
        <f t="shared" si="6"/>
        <v>0.23200000000000001</v>
      </c>
      <c r="W24" s="155" t="str">
        <f t="shared" si="7"/>
        <v>Elektryczne</v>
      </c>
      <c r="X24" s="119"/>
      <c r="Y24" s="169">
        <v>0</v>
      </c>
      <c r="Z24" s="169">
        <v>0</v>
      </c>
      <c r="AA24" s="169">
        <v>0</v>
      </c>
      <c r="AG24" s="165" t="s">
        <v>577</v>
      </c>
      <c r="AH24" s="119"/>
      <c r="AI24" s="119"/>
      <c r="AJ24" s="119"/>
      <c r="AK24" s="119"/>
      <c r="AL24" s="160">
        <f t="shared" si="10"/>
        <v>9.5777941904166277E-4</v>
      </c>
      <c r="AM24" s="158">
        <v>22768</v>
      </c>
      <c r="AN24" s="160">
        <f t="shared" si="11"/>
        <v>8.4844940215426958E-6</v>
      </c>
      <c r="AO24" s="158">
        <f t="shared" si="8"/>
        <v>30</v>
      </c>
      <c r="AP24" s="162">
        <v>30</v>
      </c>
      <c r="AQ24" s="162">
        <v>0</v>
      </c>
      <c r="AR24" s="160">
        <f t="shared" si="12"/>
        <v>0</v>
      </c>
      <c r="AS24" s="158">
        <v>0</v>
      </c>
    </row>
    <row r="25" spans="1:45" ht="18" hidden="1" customHeight="1" outlineLevel="1">
      <c r="P25" s="805" t="s">
        <v>573</v>
      </c>
      <c r="Q25" s="805"/>
      <c r="R25" s="805"/>
      <c r="S25" s="805"/>
      <c r="T25" s="805"/>
      <c r="U25" s="805"/>
      <c r="W25" s="820" t="s">
        <v>574</v>
      </c>
      <c r="X25" s="820"/>
      <c r="Y25" s="820"/>
      <c r="Z25" s="820"/>
      <c r="AA25" s="820"/>
      <c r="AB25" s="820"/>
      <c r="AC25" s="820"/>
      <c r="AD25" s="820"/>
      <c r="AE25" s="650"/>
      <c r="AG25" s="165" t="s">
        <v>578</v>
      </c>
      <c r="AH25" s="119"/>
      <c r="AI25" s="119"/>
      <c r="AJ25" s="119"/>
      <c r="AK25" s="119"/>
      <c r="AL25" s="160">
        <f t="shared" si="10"/>
        <v>1.1307585551581121E-4</v>
      </c>
      <c r="AM25" s="158">
        <v>2688</v>
      </c>
      <c r="AN25" s="160">
        <f t="shared" si="11"/>
        <v>1.6968988043085393E-6</v>
      </c>
      <c r="AO25" s="158">
        <f t="shared" si="8"/>
        <v>6</v>
      </c>
      <c r="AP25" s="162">
        <v>6</v>
      </c>
      <c r="AQ25" s="162">
        <v>0</v>
      </c>
      <c r="AR25" s="160">
        <f t="shared" si="12"/>
        <v>0</v>
      </c>
      <c r="AS25" s="158">
        <v>0</v>
      </c>
    </row>
    <row r="26" spans="1:45" hidden="1" outlineLevel="1">
      <c r="P26" s="806"/>
      <c r="Q26" s="806"/>
      <c r="R26" s="806"/>
      <c r="S26" s="806"/>
      <c r="T26" s="806"/>
      <c r="U26" s="806"/>
      <c r="W26" s="820"/>
      <c r="X26" s="820"/>
      <c r="Y26" s="820"/>
      <c r="Z26" s="820"/>
      <c r="AA26" s="820"/>
      <c r="AB26" s="820"/>
      <c r="AC26" s="820"/>
      <c r="AD26" s="820"/>
      <c r="AE26" s="650"/>
      <c r="AG26" s="153" t="s">
        <v>86</v>
      </c>
      <c r="AH26" s="154"/>
      <c r="AI26" s="154"/>
      <c r="AJ26" s="154"/>
      <c r="AK26" s="154"/>
      <c r="AL26" s="161">
        <f t="shared" si="10"/>
        <v>1</v>
      </c>
      <c r="AM26" s="159">
        <f>SUM(AM19:AM25)</f>
        <v>23771653</v>
      </c>
      <c r="AN26" s="161">
        <f t="shared" si="11"/>
        <v>1</v>
      </c>
      <c r="AO26" s="159">
        <f>SUM(AO19:AO25)</f>
        <v>3535862</v>
      </c>
      <c r="AP26" s="163">
        <f t="shared" ref="AP26:AQ26" si="13">SUM(AP19:AP25)</f>
        <v>3128487</v>
      </c>
      <c r="AQ26" s="163">
        <f t="shared" si="13"/>
        <v>407375</v>
      </c>
      <c r="AR26" s="161">
        <f t="shared" si="12"/>
        <v>1</v>
      </c>
      <c r="AS26" s="159">
        <f>SUM(AS19:AS25)</f>
        <v>103299</v>
      </c>
    </row>
    <row r="27" spans="1:45" hidden="1" outlineLevel="1">
      <c r="P27"/>
      <c r="Q27"/>
      <c r="R27"/>
      <c r="S27"/>
      <c r="T27"/>
      <c r="U27"/>
      <c r="V27"/>
      <c r="W27" s="820"/>
      <c r="X27" s="820"/>
      <c r="Y27" s="820"/>
      <c r="Z27" s="820"/>
      <c r="AA27" s="820"/>
      <c r="AB27" s="820"/>
      <c r="AC27" s="820"/>
      <c r="AD27" s="820"/>
      <c r="AE27" s="650"/>
      <c r="AG27" s="165" t="s">
        <v>579</v>
      </c>
      <c r="AH27" s="119"/>
      <c r="AI27" s="119"/>
      <c r="AJ27" s="119"/>
      <c r="AK27" s="119"/>
      <c r="AL27" s="160">
        <f>AM27/$AM$28</f>
        <v>2.415882551867668E-2</v>
      </c>
      <c r="AM27" s="158">
        <f>AM28-AM26</f>
        <v>588513</v>
      </c>
      <c r="AN27" s="160">
        <f>AO27/$AO$28</f>
        <v>8.9515969756124442E-2</v>
      </c>
      <c r="AO27" s="158">
        <f>AO28-AO26</f>
        <v>347635</v>
      </c>
      <c r="AP27" s="162">
        <f t="shared" ref="AP27:AQ27" si="14">AP28-AP26</f>
        <v>307697</v>
      </c>
      <c r="AQ27" s="162">
        <f t="shared" si="14"/>
        <v>39938</v>
      </c>
      <c r="AR27" s="160">
        <f>AS27/$AS$28</f>
        <v>0.15745815797200743</v>
      </c>
      <c r="AS27" s="158">
        <f>AS28-AS26</f>
        <v>19305</v>
      </c>
    </row>
    <row r="28" spans="1:45" hidden="1" outlineLevel="1">
      <c r="P28"/>
      <c r="Q28"/>
      <c r="R28"/>
      <c r="S28"/>
      <c r="T28"/>
      <c r="U28"/>
      <c r="V28"/>
      <c r="W28" s="820"/>
      <c r="X28" s="820"/>
      <c r="Y28" s="820"/>
      <c r="Z28" s="820"/>
      <c r="AA28" s="820"/>
      <c r="AB28" s="820"/>
      <c r="AC28" s="820"/>
      <c r="AD28" s="820"/>
      <c r="AE28" s="650"/>
      <c r="AG28" s="153" t="s">
        <v>83</v>
      </c>
      <c r="AH28" s="154"/>
      <c r="AI28" s="154"/>
      <c r="AJ28" s="154"/>
      <c r="AK28" s="154"/>
      <c r="AL28" s="161">
        <f>AM28/$AM$28</f>
        <v>1</v>
      </c>
      <c r="AM28" s="159">
        <v>24360166</v>
      </c>
      <c r="AN28" s="161">
        <f>AO28/$AO$28</f>
        <v>1</v>
      </c>
      <c r="AO28" s="159">
        <f>SUM(AP28,AQ28)</f>
        <v>3883497</v>
      </c>
      <c r="AP28" s="163">
        <v>3436184</v>
      </c>
      <c r="AQ28" s="163">
        <v>447313</v>
      </c>
      <c r="AR28" s="161">
        <f>AS28/$AS$28</f>
        <v>1</v>
      </c>
      <c r="AS28" s="159">
        <v>122604</v>
      </c>
    </row>
    <row r="29" spans="1:45" hidden="1" outlineLevel="1">
      <c r="P29"/>
      <c r="Q29"/>
      <c r="R29"/>
      <c r="S29"/>
      <c r="T29"/>
      <c r="U29"/>
      <c r="V29"/>
      <c r="W29" s="820"/>
      <c r="X29" s="820"/>
      <c r="Y29" s="820"/>
      <c r="Z29" s="820"/>
      <c r="AA29" s="820"/>
      <c r="AB29" s="820"/>
      <c r="AC29" s="820"/>
      <c r="AD29" s="820"/>
      <c r="AE29" s="650"/>
      <c r="AG29" s="35" t="s">
        <v>580</v>
      </c>
    </row>
    <row r="30" spans="1:45" s="592" customFormat="1" hidden="1" outlineLevel="1">
      <c r="W30" s="820"/>
      <c r="X30" s="820"/>
      <c r="Y30" s="820"/>
      <c r="Z30" s="820"/>
      <c r="AA30" s="820"/>
      <c r="AB30" s="820"/>
      <c r="AC30" s="820"/>
      <c r="AD30" s="820"/>
      <c r="AG30" s="35"/>
    </row>
    <row r="31" spans="1:45" s="592" customFormat="1" hidden="1" outlineLevel="1">
      <c r="AG31" s="35"/>
    </row>
    <row r="32" spans="1:45" hidden="1" outlineLevel="1">
      <c r="P32" s="166" t="s">
        <v>87</v>
      </c>
      <c r="W32" s="166" t="s">
        <v>88</v>
      </c>
      <c r="AG32" s="35"/>
      <c r="AL32"/>
    </row>
    <row r="33" spans="1:38" hidden="1" outlineLevel="1">
      <c r="P33" s="156" t="s">
        <v>72</v>
      </c>
      <c r="Q33" s="157"/>
      <c r="R33" s="157"/>
      <c r="S33" s="167" t="s">
        <v>79</v>
      </c>
      <c r="T33" s="168">
        <v>2030</v>
      </c>
      <c r="U33" s="168">
        <v>2050</v>
      </c>
      <c r="W33" s="156" t="s">
        <v>72</v>
      </c>
      <c r="X33" s="157"/>
      <c r="Y33" s="167" t="s">
        <v>79</v>
      </c>
      <c r="Z33" s="168">
        <v>2030</v>
      </c>
      <c r="AA33" s="168">
        <v>2050</v>
      </c>
      <c r="AG33" s="35"/>
      <c r="AL33"/>
    </row>
    <row r="34" spans="1:38" hidden="1" outlineLevel="1">
      <c r="P34" s="155" t="s">
        <v>583</v>
      </c>
      <c r="Q34" s="67"/>
      <c r="R34" s="67"/>
      <c r="S34" s="200">
        <f>SUM(S19:S22)</f>
        <v>1</v>
      </c>
      <c r="T34" s="200">
        <f>SUM(T19:T22)</f>
        <v>0.92199999999999993</v>
      </c>
      <c r="U34" s="200">
        <f>SUM(U19:U22)</f>
        <v>0.66900000000000004</v>
      </c>
      <c r="W34" s="155" t="s">
        <v>583</v>
      </c>
      <c r="X34" s="67"/>
      <c r="Y34" s="200">
        <f>SUM(Y19:Y22)</f>
        <v>1</v>
      </c>
      <c r="Z34" s="200">
        <f>SUM(Z19:Z22)</f>
        <v>1</v>
      </c>
      <c r="AA34" s="200">
        <f>SUM(AA19:AA22)</f>
        <v>1</v>
      </c>
      <c r="AG34" s="35"/>
    </row>
    <row r="35" spans="1:38" s="208" customFormat="1" hidden="1" outlineLevel="1">
      <c r="P35" s="206" t="s">
        <v>581</v>
      </c>
      <c r="Q35" s="209"/>
      <c r="R35" s="209"/>
      <c r="S35" s="210">
        <f>SUM(S20:S22)</f>
        <v>0.67903598504544949</v>
      </c>
      <c r="T35" s="210">
        <f t="shared" ref="T35:U35" si="15">SUM(T20:T22)</f>
        <v>0.64799999999999991</v>
      </c>
      <c r="U35" s="210">
        <f t="shared" si="15"/>
        <v>0.496</v>
      </c>
      <c r="W35" s="206" t="s">
        <v>581</v>
      </c>
      <c r="X35" s="209"/>
      <c r="Y35" s="210">
        <f>SUM(Y20:Y22)</f>
        <v>0</v>
      </c>
      <c r="Z35" s="210">
        <f t="shared" ref="Z35:AA35" si="16">SUM(Z20:Z22)</f>
        <v>0</v>
      </c>
      <c r="AA35" s="210">
        <f t="shared" si="16"/>
        <v>0</v>
      </c>
      <c r="AG35" s="35"/>
    </row>
    <row r="36" spans="1:38" s="208" customFormat="1" hidden="1" outlineLevel="1">
      <c r="P36" s="206" t="s">
        <v>73</v>
      </c>
      <c r="Q36" s="209"/>
      <c r="R36" s="209"/>
      <c r="S36" s="210">
        <f>S19</f>
        <v>0.32096401495455057</v>
      </c>
      <c r="T36" s="210">
        <f t="shared" ref="T36:U36" si="17">T19</f>
        <v>0.27400000000000002</v>
      </c>
      <c r="U36" s="210">
        <f t="shared" si="17"/>
        <v>0.17299999999999999</v>
      </c>
      <c r="W36" s="206" t="s">
        <v>73</v>
      </c>
      <c r="X36" s="209"/>
      <c r="Y36" s="210">
        <f>Y19</f>
        <v>1</v>
      </c>
      <c r="Z36" s="210">
        <f t="shared" ref="Z36:AA36" si="18">Z19</f>
        <v>1</v>
      </c>
      <c r="AA36" s="210">
        <f t="shared" si="18"/>
        <v>1</v>
      </c>
      <c r="AG36" s="35"/>
    </row>
    <row r="37" spans="1:38" hidden="1" outlineLevel="1">
      <c r="P37" s="155" t="s">
        <v>582</v>
      </c>
      <c r="Q37" s="119"/>
      <c r="R37" s="119"/>
      <c r="S37" s="169">
        <f>SUM(S23:S24)</f>
        <v>0</v>
      </c>
      <c r="T37" s="169">
        <f>SUM(T23:T24)</f>
        <v>7.8E-2</v>
      </c>
      <c r="U37" s="169">
        <f>SUM(U23:U24)</f>
        <v>0.33100000000000002</v>
      </c>
      <c r="W37" s="155" t="s">
        <v>582</v>
      </c>
      <c r="X37" s="119"/>
      <c r="Y37" s="169">
        <f>SUM(Y23:Y24)</f>
        <v>0</v>
      </c>
      <c r="Z37" s="169">
        <f>SUM(Z23:Z24)</f>
        <v>0</v>
      </c>
      <c r="AA37" s="169">
        <f>SUM(AA23:AA24)</f>
        <v>0</v>
      </c>
      <c r="AG37" s="35"/>
    </row>
    <row r="38" spans="1:38" hidden="1" outlineLevel="1">
      <c r="S38" s="208"/>
      <c r="T38" s="208"/>
      <c r="U38" s="208"/>
      <c r="AG38" s="35"/>
    </row>
    <row r="39" spans="1:38" s="315" customFormat="1" hidden="1" outlineLevel="1">
      <c r="A39" s="810" t="s">
        <v>584</v>
      </c>
      <c r="B39" s="810"/>
      <c r="C39" s="810"/>
      <c r="D39" s="810"/>
      <c r="E39" s="810"/>
      <c r="F39" s="810"/>
      <c r="G39" s="810"/>
      <c r="H39" s="810"/>
      <c r="I39" s="810"/>
      <c r="J39" s="810"/>
      <c r="K39" s="810"/>
      <c r="L39" s="810"/>
      <c r="M39" s="810"/>
      <c r="N39" s="810"/>
      <c r="O39" s="810"/>
      <c r="P39" s="810"/>
      <c r="Q39" s="810"/>
      <c r="R39" s="810"/>
      <c r="S39" s="810"/>
      <c r="T39" s="810"/>
      <c r="U39" s="810"/>
      <c r="V39" s="810"/>
      <c r="AG39" s="35"/>
    </row>
    <row r="40" spans="1:38" s="592" customFormat="1" hidden="1" outlineLevel="1">
      <c r="A40" s="810"/>
      <c r="B40" s="810"/>
      <c r="C40" s="810"/>
      <c r="D40" s="810"/>
      <c r="E40" s="810"/>
      <c r="F40" s="810"/>
      <c r="G40" s="810"/>
      <c r="H40" s="810"/>
      <c r="I40" s="810"/>
      <c r="J40" s="810"/>
      <c r="K40" s="810"/>
      <c r="L40" s="810"/>
      <c r="M40" s="810"/>
      <c r="N40" s="810"/>
      <c r="O40" s="810"/>
      <c r="P40" s="810"/>
      <c r="Q40" s="810"/>
      <c r="R40" s="810"/>
      <c r="S40" s="810"/>
      <c r="T40" s="810"/>
      <c r="U40" s="810"/>
      <c r="V40" s="810"/>
      <c r="AG40" s="35"/>
    </row>
    <row r="41" spans="1:38" s="315" customFormat="1" hidden="1" outlineLevel="1">
      <c r="A41" s="184" t="s">
        <v>104</v>
      </c>
      <c r="B41" s="9"/>
      <c r="C41" s="9"/>
      <c r="D41" s="9"/>
      <c r="E41" s="9"/>
      <c r="F41" s="9"/>
      <c r="G41" s="9"/>
      <c r="H41" s="9"/>
      <c r="I41" s="9"/>
      <c r="J41" s="9"/>
      <c r="K41" s="9"/>
      <c r="L41" s="9"/>
      <c r="M41" s="9"/>
      <c r="N41" s="9"/>
      <c r="O41" s="9"/>
      <c r="P41" s="183">
        <v>2019</v>
      </c>
      <c r="Q41"/>
      <c r="R41"/>
      <c r="AG41" s="35"/>
    </row>
    <row r="42" spans="1:38" s="315" customFormat="1" hidden="1" outlineLevel="1">
      <c r="A42" s="317" t="s">
        <v>581</v>
      </c>
      <c r="B42" s="213"/>
      <c r="C42" s="213"/>
      <c r="D42" s="213"/>
      <c r="E42" s="213"/>
      <c r="F42" s="213"/>
      <c r="G42" s="213"/>
      <c r="H42" s="213"/>
      <c r="I42" s="213"/>
      <c r="J42" s="213"/>
      <c r="K42" s="213"/>
      <c r="L42" s="213"/>
      <c r="M42" s="213"/>
      <c r="N42" s="213"/>
      <c r="O42" s="213"/>
      <c r="P42" s="212">
        <f>S35/SUM(S35:S36)</f>
        <v>0.67903598504544949</v>
      </c>
      <c r="Q42"/>
      <c r="R42"/>
      <c r="AG42" s="35"/>
    </row>
    <row r="43" spans="1:38" s="315" customFormat="1" hidden="1" outlineLevel="1">
      <c r="A43" s="317" t="s">
        <v>73</v>
      </c>
      <c r="B43" s="213"/>
      <c r="C43" s="213"/>
      <c r="D43" s="213"/>
      <c r="E43" s="213"/>
      <c r="F43" s="213"/>
      <c r="G43" s="213"/>
      <c r="H43" s="213"/>
      <c r="I43" s="213"/>
      <c r="J43" s="213"/>
      <c r="K43" s="213"/>
      <c r="L43" s="213"/>
      <c r="M43" s="213"/>
      <c r="N43" s="213"/>
      <c r="O43" s="213"/>
      <c r="P43" s="212">
        <f>S36/SUM(S35:S36)</f>
        <v>0.32096401495455057</v>
      </c>
      <c r="Q43"/>
      <c r="R43"/>
      <c r="AG43" s="35"/>
    </row>
    <row r="44" spans="1:38" s="315" customFormat="1" hidden="1" outlineLevel="1">
      <c r="A44" s="184" t="s">
        <v>105</v>
      </c>
      <c r="B44" s="9"/>
      <c r="C44" s="9"/>
      <c r="D44" s="9"/>
      <c r="E44" s="9"/>
      <c r="F44" s="9"/>
      <c r="G44" s="9"/>
      <c r="H44" s="9"/>
      <c r="I44" s="9"/>
      <c r="J44" s="9"/>
      <c r="K44" s="9"/>
      <c r="L44" s="9"/>
      <c r="M44" s="9"/>
      <c r="N44" s="9"/>
      <c r="O44" s="9"/>
      <c r="P44" s="183">
        <v>2019</v>
      </c>
      <c r="Q44"/>
      <c r="R44"/>
      <c r="AG44" s="35"/>
    </row>
    <row r="45" spans="1:38" s="315" customFormat="1" hidden="1" outlineLevel="1">
      <c r="A45" s="317" t="s">
        <v>581</v>
      </c>
      <c r="B45" s="213"/>
      <c r="C45" s="213"/>
      <c r="D45" s="213"/>
      <c r="E45" s="213"/>
      <c r="F45" s="213"/>
      <c r="G45" s="213"/>
      <c r="H45" s="213"/>
      <c r="I45" s="213"/>
      <c r="J45" s="213"/>
      <c r="K45" s="213"/>
      <c r="L45" s="213"/>
      <c r="M45" s="213"/>
      <c r="N45" s="213"/>
      <c r="O45" s="213"/>
      <c r="P45" s="212">
        <f>Y35/SUM(Y35:Y36)</f>
        <v>0</v>
      </c>
      <c r="Q45"/>
      <c r="R45"/>
      <c r="AG45" s="35"/>
    </row>
    <row r="46" spans="1:38" s="315" customFormat="1" hidden="1" outlineLevel="1">
      <c r="A46" s="317" t="s">
        <v>73</v>
      </c>
      <c r="B46" s="213"/>
      <c r="C46" s="213"/>
      <c r="D46" s="213"/>
      <c r="E46" s="213"/>
      <c r="F46" s="213"/>
      <c r="G46" s="213"/>
      <c r="H46" s="213"/>
      <c r="I46" s="213"/>
      <c r="J46" s="213"/>
      <c r="K46" s="213"/>
      <c r="L46" s="213"/>
      <c r="M46" s="213"/>
      <c r="N46" s="213"/>
      <c r="O46" s="213"/>
      <c r="P46" s="212">
        <f>Y36/SUM(Y35:Y36)</f>
        <v>1</v>
      </c>
      <c r="Q46"/>
      <c r="R46"/>
      <c r="AG46" s="35"/>
    </row>
    <row r="47" spans="1:38" s="315" customFormat="1" hidden="1" outlineLevel="1">
      <c r="AG47" s="35"/>
    </row>
    <row r="48" spans="1:38" collapsed="1">
      <c r="A48" s="166" t="s">
        <v>87</v>
      </c>
      <c r="S48" s="208"/>
      <c r="T48" s="208"/>
      <c r="U48" s="208"/>
      <c r="AG48" s="35"/>
    </row>
    <row r="49" spans="1:62">
      <c r="A49" s="9" t="s">
        <v>72</v>
      </c>
      <c r="B49" s="663" t="s">
        <v>0</v>
      </c>
      <c r="C49" s="2"/>
      <c r="D49" s="2"/>
      <c r="E49" s="2"/>
      <c r="F49" s="2"/>
      <c r="G49" s="2"/>
      <c r="H49" s="2"/>
      <c r="I49" s="2"/>
      <c r="J49" s="2"/>
      <c r="K49" s="2"/>
      <c r="L49" s="2"/>
      <c r="M49" s="2"/>
      <c r="N49" s="2"/>
      <c r="O49" s="2"/>
      <c r="P49" s="2"/>
      <c r="Q49" s="6"/>
      <c r="R49" s="6"/>
      <c r="S49" s="6"/>
      <c r="T49" s="6">
        <v>2019</v>
      </c>
      <c r="U49" s="6">
        <f t="shared" ref="U49:BJ49" si="19">T49+1</f>
        <v>2020</v>
      </c>
      <c r="V49" s="6">
        <f t="shared" si="19"/>
        <v>2021</v>
      </c>
      <c r="W49" s="6">
        <f t="shared" si="19"/>
        <v>2022</v>
      </c>
      <c r="X49" s="6">
        <f t="shared" si="19"/>
        <v>2023</v>
      </c>
      <c r="Y49" s="6">
        <f t="shared" si="19"/>
        <v>2024</v>
      </c>
      <c r="Z49" s="6">
        <f t="shared" si="19"/>
        <v>2025</v>
      </c>
      <c r="AA49" s="6">
        <f t="shared" si="19"/>
        <v>2026</v>
      </c>
      <c r="AB49" s="6">
        <f t="shared" si="19"/>
        <v>2027</v>
      </c>
      <c r="AC49" s="6">
        <f t="shared" si="19"/>
        <v>2028</v>
      </c>
      <c r="AD49" s="6">
        <f t="shared" si="19"/>
        <v>2029</v>
      </c>
      <c r="AE49" s="6">
        <f t="shared" si="19"/>
        <v>2030</v>
      </c>
      <c r="AF49" s="6">
        <f t="shared" si="19"/>
        <v>2031</v>
      </c>
      <c r="AG49" s="6">
        <f t="shared" si="19"/>
        <v>2032</v>
      </c>
      <c r="AH49" s="6">
        <f t="shared" si="19"/>
        <v>2033</v>
      </c>
      <c r="AI49" s="6">
        <f t="shared" si="19"/>
        <v>2034</v>
      </c>
      <c r="AJ49" s="6">
        <f t="shared" si="19"/>
        <v>2035</v>
      </c>
      <c r="AK49" s="6">
        <f t="shared" si="19"/>
        <v>2036</v>
      </c>
      <c r="AL49" s="6">
        <f t="shared" si="19"/>
        <v>2037</v>
      </c>
      <c r="AM49" s="6">
        <f t="shared" si="19"/>
        <v>2038</v>
      </c>
      <c r="AN49" s="6">
        <f t="shared" si="19"/>
        <v>2039</v>
      </c>
      <c r="AO49" s="6">
        <f t="shared" si="19"/>
        <v>2040</v>
      </c>
      <c r="AP49" s="6">
        <f t="shared" si="19"/>
        <v>2041</v>
      </c>
      <c r="AQ49" s="6">
        <f t="shared" si="19"/>
        <v>2042</v>
      </c>
      <c r="AR49" s="6">
        <f t="shared" si="19"/>
        <v>2043</v>
      </c>
      <c r="AS49" s="6">
        <f t="shared" si="19"/>
        <v>2044</v>
      </c>
      <c r="AT49" s="6">
        <f t="shared" si="19"/>
        <v>2045</v>
      </c>
      <c r="AU49" s="6">
        <f t="shared" si="19"/>
        <v>2046</v>
      </c>
      <c r="AV49" s="6">
        <f t="shared" si="19"/>
        <v>2047</v>
      </c>
      <c r="AW49" s="6">
        <f t="shared" si="19"/>
        <v>2048</v>
      </c>
      <c r="AX49" s="6">
        <f t="shared" si="19"/>
        <v>2049</v>
      </c>
      <c r="AY49" s="6">
        <f t="shared" si="19"/>
        <v>2050</v>
      </c>
      <c r="AZ49" s="6">
        <f t="shared" si="19"/>
        <v>2051</v>
      </c>
      <c r="BA49" s="6">
        <f t="shared" si="19"/>
        <v>2052</v>
      </c>
      <c r="BB49" s="6">
        <f t="shared" si="19"/>
        <v>2053</v>
      </c>
      <c r="BC49" s="6">
        <f t="shared" si="19"/>
        <v>2054</v>
      </c>
      <c r="BD49" s="6">
        <f t="shared" si="19"/>
        <v>2055</v>
      </c>
      <c r="BE49" s="6">
        <f t="shared" si="19"/>
        <v>2056</v>
      </c>
      <c r="BF49" s="6">
        <f t="shared" si="19"/>
        <v>2057</v>
      </c>
      <c r="BG49" s="6">
        <f t="shared" si="19"/>
        <v>2058</v>
      </c>
      <c r="BH49" s="6">
        <f t="shared" si="19"/>
        <v>2059</v>
      </c>
      <c r="BI49" s="6">
        <f t="shared" si="19"/>
        <v>2060</v>
      </c>
      <c r="BJ49" s="6">
        <f t="shared" si="19"/>
        <v>2061</v>
      </c>
    </row>
    <row r="50" spans="1:62">
      <c r="A50" s="155" t="s">
        <v>583</v>
      </c>
      <c r="B50" s="170"/>
      <c r="C50" s="170"/>
      <c r="D50" s="170"/>
      <c r="E50" s="170"/>
      <c r="F50" s="170"/>
      <c r="G50" s="170"/>
      <c r="H50" s="170"/>
      <c r="I50" s="170"/>
      <c r="J50" s="170"/>
      <c r="K50" s="170"/>
      <c r="L50" s="170"/>
      <c r="M50" s="170"/>
      <c r="N50" s="170"/>
      <c r="O50" s="170"/>
      <c r="P50" s="170"/>
      <c r="Q50" s="170"/>
      <c r="R50" s="170"/>
      <c r="S50" s="171"/>
      <c r="T50" s="172">
        <f>$S$34</f>
        <v>1</v>
      </c>
      <c r="U50" s="173">
        <f>T50+($AE50-$T50)/($AE$49-$T$49)</f>
        <v>0.99290909090909085</v>
      </c>
      <c r="V50" s="169">
        <f t="shared" ref="V50:AD50" si="20">U50+($AE50-$T50)/($AE$49-$T$49)</f>
        <v>0.9858181818181817</v>
      </c>
      <c r="W50" s="169">
        <f t="shared" si="20"/>
        <v>0.97872727272727256</v>
      </c>
      <c r="X50" s="169">
        <f t="shared" si="20"/>
        <v>0.97163636363636341</v>
      </c>
      <c r="Y50" s="169">
        <f t="shared" si="20"/>
        <v>0.96454545454545426</v>
      </c>
      <c r="Z50" s="169">
        <f t="shared" si="20"/>
        <v>0.95745454545454511</v>
      </c>
      <c r="AA50" s="169">
        <f t="shared" si="20"/>
        <v>0.95036363636363597</v>
      </c>
      <c r="AB50" s="169">
        <f t="shared" si="20"/>
        <v>0.94327272727272682</v>
      </c>
      <c r="AC50" s="169">
        <f t="shared" si="20"/>
        <v>0.93618181818181767</v>
      </c>
      <c r="AD50" s="169">
        <f t="shared" si="20"/>
        <v>0.92909090909090852</v>
      </c>
      <c r="AE50" s="172">
        <f>$T$34</f>
        <v>0.92199999999999993</v>
      </c>
      <c r="AF50" s="169">
        <f>AE50+($AY50-$AE50)/($AY$49-$AE$49)</f>
        <v>0.90934999999999988</v>
      </c>
      <c r="AG50" s="169">
        <f t="shared" ref="AG50:AX53" si="21">AF50+($AY50-$AE50)/($AY$49-$AE$49)</f>
        <v>0.89669999999999983</v>
      </c>
      <c r="AH50" s="169">
        <f t="shared" si="21"/>
        <v>0.88404999999999978</v>
      </c>
      <c r="AI50" s="169">
        <f t="shared" si="21"/>
        <v>0.87139999999999973</v>
      </c>
      <c r="AJ50" s="169">
        <f t="shared" si="21"/>
        <v>0.85874999999999968</v>
      </c>
      <c r="AK50" s="169">
        <f t="shared" si="21"/>
        <v>0.84609999999999963</v>
      </c>
      <c r="AL50" s="169">
        <f t="shared" si="21"/>
        <v>0.83344999999999958</v>
      </c>
      <c r="AM50" s="169">
        <f t="shared" si="21"/>
        <v>0.82079999999999953</v>
      </c>
      <c r="AN50" s="169">
        <f t="shared" si="21"/>
        <v>0.80814999999999948</v>
      </c>
      <c r="AO50" s="169">
        <f t="shared" si="21"/>
        <v>0.79549999999999943</v>
      </c>
      <c r="AP50" s="169">
        <f t="shared" si="21"/>
        <v>0.78284999999999938</v>
      </c>
      <c r="AQ50" s="169">
        <f t="shared" si="21"/>
        <v>0.77019999999999933</v>
      </c>
      <c r="AR50" s="169">
        <f t="shared" si="21"/>
        <v>0.75754999999999928</v>
      </c>
      <c r="AS50" s="169">
        <f t="shared" si="21"/>
        <v>0.74489999999999923</v>
      </c>
      <c r="AT50" s="169">
        <f t="shared" si="21"/>
        <v>0.73224999999999918</v>
      </c>
      <c r="AU50" s="169">
        <f t="shared" si="21"/>
        <v>0.71959999999999913</v>
      </c>
      <c r="AV50" s="169">
        <f t="shared" si="21"/>
        <v>0.70694999999999908</v>
      </c>
      <c r="AW50" s="169">
        <f t="shared" si="21"/>
        <v>0.69429999999999903</v>
      </c>
      <c r="AX50" s="169">
        <f t="shared" si="21"/>
        <v>0.68164999999999898</v>
      </c>
      <c r="AY50" s="172">
        <f>$U$34</f>
        <v>0.66900000000000004</v>
      </c>
      <c r="AZ50" s="169">
        <f>AY50</f>
        <v>0.66900000000000004</v>
      </c>
      <c r="BA50" s="169">
        <f t="shared" ref="BA50:BJ53" si="22">AZ50</f>
        <v>0.66900000000000004</v>
      </c>
      <c r="BB50" s="169">
        <f t="shared" si="22"/>
        <v>0.66900000000000004</v>
      </c>
      <c r="BC50" s="169">
        <f t="shared" si="22"/>
        <v>0.66900000000000004</v>
      </c>
      <c r="BD50" s="169">
        <f t="shared" si="22"/>
        <v>0.66900000000000004</v>
      </c>
      <c r="BE50" s="169">
        <f t="shared" si="22"/>
        <v>0.66900000000000004</v>
      </c>
      <c r="BF50" s="169">
        <f t="shared" si="22"/>
        <v>0.66900000000000004</v>
      </c>
      <c r="BG50" s="169">
        <f t="shared" si="22"/>
        <v>0.66900000000000004</v>
      </c>
      <c r="BH50" s="169">
        <f t="shared" si="22"/>
        <v>0.66900000000000004</v>
      </c>
      <c r="BI50" s="169">
        <f t="shared" si="22"/>
        <v>0.66900000000000004</v>
      </c>
      <c r="BJ50" s="169">
        <f t="shared" si="22"/>
        <v>0.66900000000000004</v>
      </c>
    </row>
    <row r="51" spans="1:62" s="208" customFormat="1">
      <c r="A51" s="206" t="s">
        <v>581</v>
      </c>
      <c r="B51" s="201"/>
      <c r="C51" s="201"/>
      <c r="D51" s="201"/>
      <c r="E51" s="201"/>
      <c r="F51" s="201"/>
      <c r="G51" s="201"/>
      <c r="H51" s="201"/>
      <c r="I51" s="201"/>
      <c r="J51" s="201"/>
      <c r="K51" s="201"/>
      <c r="L51" s="201"/>
      <c r="M51" s="201"/>
      <c r="N51" s="201"/>
      <c r="O51" s="201"/>
      <c r="P51" s="201"/>
      <c r="Q51" s="201"/>
      <c r="R51" s="201"/>
      <c r="S51" s="202"/>
      <c r="T51" s="203">
        <f>$S$35</f>
        <v>0.67903598504544949</v>
      </c>
      <c r="U51" s="204">
        <f t="shared" ref="U51:AD53" si="23">T51+($AE51-$T51)/($AE$49-$T$49)</f>
        <v>0.67621453185949953</v>
      </c>
      <c r="V51" s="205">
        <f t="shared" si="23"/>
        <v>0.67339307867354958</v>
      </c>
      <c r="W51" s="205">
        <f t="shared" si="23"/>
        <v>0.67057162548759963</v>
      </c>
      <c r="X51" s="205">
        <f t="shared" si="23"/>
        <v>0.66775017230164968</v>
      </c>
      <c r="Y51" s="205">
        <f t="shared" si="23"/>
        <v>0.66492871911569973</v>
      </c>
      <c r="Z51" s="205">
        <f t="shared" si="23"/>
        <v>0.66210726592974978</v>
      </c>
      <c r="AA51" s="205">
        <f t="shared" si="23"/>
        <v>0.65928581274379983</v>
      </c>
      <c r="AB51" s="205">
        <f t="shared" si="23"/>
        <v>0.65646435955784987</v>
      </c>
      <c r="AC51" s="205">
        <f t="shared" si="23"/>
        <v>0.65364290637189992</v>
      </c>
      <c r="AD51" s="205">
        <f t="shared" si="23"/>
        <v>0.65082145318594997</v>
      </c>
      <c r="AE51" s="203">
        <f>$T$35</f>
        <v>0.64799999999999991</v>
      </c>
      <c r="AF51" s="205">
        <f t="shared" ref="AF51:AU53" si="24">AE51+($AY51-$AE51)/($AY$49-$AE$49)</f>
        <v>0.64039999999999986</v>
      </c>
      <c r="AG51" s="205">
        <f t="shared" si="24"/>
        <v>0.63279999999999981</v>
      </c>
      <c r="AH51" s="205">
        <f t="shared" si="24"/>
        <v>0.62519999999999976</v>
      </c>
      <c r="AI51" s="205">
        <f t="shared" si="24"/>
        <v>0.6175999999999997</v>
      </c>
      <c r="AJ51" s="205">
        <f t="shared" si="24"/>
        <v>0.60999999999999965</v>
      </c>
      <c r="AK51" s="205">
        <f t="shared" si="24"/>
        <v>0.6023999999999996</v>
      </c>
      <c r="AL51" s="205">
        <f t="shared" si="24"/>
        <v>0.59479999999999955</v>
      </c>
      <c r="AM51" s="205">
        <f t="shared" si="24"/>
        <v>0.5871999999999995</v>
      </c>
      <c r="AN51" s="205">
        <f t="shared" si="24"/>
        <v>0.57959999999999945</v>
      </c>
      <c r="AO51" s="205">
        <f t="shared" si="24"/>
        <v>0.5719999999999994</v>
      </c>
      <c r="AP51" s="205">
        <f t="shared" si="24"/>
        <v>0.56439999999999935</v>
      </c>
      <c r="AQ51" s="205">
        <f t="shared" si="24"/>
        <v>0.5567999999999993</v>
      </c>
      <c r="AR51" s="205">
        <f t="shared" si="24"/>
        <v>0.54919999999999924</v>
      </c>
      <c r="AS51" s="205">
        <f t="shared" si="24"/>
        <v>0.54159999999999919</v>
      </c>
      <c r="AT51" s="205">
        <f t="shared" si="24"/>
        <v>0.53399999999999914</v>
      </c>
      <c r="AU51" s="205">
        <f t="shared" si="24"/>
        <v>0.52639999999999909</v>
      </c>
      <c r="AV51" s="205">
        <f t="shared" si="21"/>
        <v>0.51879999999999904</v>
      </c>
      <c r="AW51" s="205">
        <f t="shared" si="21"/>
        <v>0.51119999999999899</v>
      </c>
      <c r="AX51" s="205">
        <f t="shared" si="21"/>
        <v>0.50359999999999894</v>
      </c>
      <c r="AY51" s="203">
        <f>$U$35</f>
        <v>0.496</v>
      </c>
      <c r="AZ51" s="205">
        <f t="shared" ref="AZ51:BJ52" si="25">AY51</f>
        <v>0.496</v>
      </c>
      <c r="BA51" s="205">
        <f t="shared" si="25"/>
        <v>0.496</v>
      </c>
      <c r="BB51" s="205">
        <f t="shared" si="25"/>
        <v>0.496</v>
      </c>
      <c r="BC51" s="205">
        <f t="shared" si="25"/>
        <v>0.496</v>
      </c>
      <c r="BD51" s="205">
        <f t="shared" si="25"/>
        <v>0.496</v>
      </c>
      <c r="BE51" s="205">
        <f t="shared" si="25"/>
        <v>0.496</v>
      </c>
      <c r="BF51" s="205">
        <f t="shared" si="25"/>
        <v>0.496</v>
      </c>
      <c r="BG51" s="205">
        <f t="shared" si="25"/>
        <v>0.496</v>
      </c>
      <c r="BH51" s="205">
        <f t="shared" si="25"/>
        <v>0.496</v>
      </c>
      <c r="BI51" s="205">
        <f t="shared" si="25"/>
        <v>0.496</v>
      </c>
      <c r="BJ51" s="205">
        <f t="shared" si="25"/>
        <v>0.496</v>
      </c>
    </row>
    <row r="52" spans="1:62" s="208" customFormat="1">
      <c r="A52" s="206" t="s">
        <v>73</v>
      </c>
      <c r="B52" s="201"/>
      <c r="C52" s="201"/>
      <c r="D52" s="201"/>
      <c r="E52" s="201"/>
      <c r="F52" s="201"/>
      <c r="G52" s="201"/>
      <c r="H52" s="201"/>
      <c r="I52" s="201"/>
      <c r="J52" s="201"/>
      <c r="K52" s="201"/>
      <c r="L52" s="201"/>
      <c r="M52" s="201"/>
      <c r="N52" s="201"/>
      <c r="O52" s="201"/>
      <c r="P52" s="201"/>
      <c r="Q52" s="201"/>
      <c r="R52" s="201"/>
      <c r="S52" s="202"/>
      <c r="T52" s="203">
        <f>$S$36</f>
        <v>0.32096401495455057</v>
      </c>
      <c r="U52" s="204">
        <f t="shared" si="23"/>
        <v>0.31669455904959143</v>
      </c>
      <c r="V52" s="205">
        <f t="shared" si="23"/>
        <v>0.31242510314463229</v>
      </c>
      <c r="W52" s="205">
        <f t="shared" si="23"/>
        <v>0.30815564723967315</v>
      </c>
      <c r="X52" s="205">
        <f t="shared" si="23"/>
        <v>0.30388619133471401</v>
      </c>
      <c r="Y52" s="205">
        <f t="shared" si="23"/>
        <v>0.29961673542975487</v>
      </c>
      <c r="Z52" s="205">
        <f t="shared" si="23"/>
        <v>0.29534727952479572</v>
      </c>
      <c r="AA52" s="205">
        <f t="shared" si="23"/>
        <v>0.29107782361983658</v>
      </c>
      <c r="AB52" s="205">
        <f t="shared" si="23"/>
        <v>0.28680836771487744</v>
      </c>
      <c r="AC52" s="205">
        <f t="shared" si="23"/>
        <v>0.2825389118099183</v>
      </c>
      <c r="AD52" s="205">
        <f t="shared" si="23"/>
        <v>0.27826945590495916</v>
      </c>
      <c r="AE52" s="203">
        <f>$T$36</f>
        <v>0.27400000000000002</v>
      </c>
      <c r="AF52" s="205">
        <f t="shared" si="24"/>
        <v>0.26895000000000002</v>
      </c>
      <c r="AG52" s="205">
        <f t="shared" si="21"/>
        <v>0.26390000000000002</v>
      </c>
      <c r="AH52" s="205">
        <f t="shared" si="21"/>
        <v>0.25885000000000002</v>
      </c>
      <c r="AI52" s="205">
        <f t="shared" si="21"/>
        <v>0.25380000000000003</v>
      </c>
      <c r="AJ52" s="205">
        <f t="shared" si="21"/>
        <v>0.24875000000000003</v>
      </c>
      <c r="AK52" s="205">
        <f t="shared" si="21"/>
        <v>0.24370000000000003</v>
      </c>
      <c r="AL52" s="205">
        <f t="shared" si="21"/>
        <v>0.23865000000000003</v>
      </c>
      <c r="AM52" s="205">
        <f t="shared" si="21"/>
        <v>0.23360000000000003</v>
      </c>
      <c r="AN52" s="205">
        <f t="shared" si="21"/>
        <v>0.22855000000000003</v>
      </c>
      <c r="AO52" s="205">
        <f t="shared" si="21"/>
        <v>0.22350000000000003</v>
      </c>
      <c r="AP52" s="205">
        <f t="shared" si="21"/>
        <v>0.21845000000000003</v>
      </c>
      <c r="AQ52" s="205">
        <f t="shared" si="21"/>
        <v>0.21340000000000003</v>
      </c>
      <c r="AR52" s="205">
        <f t="shared" si="21"/>
        <v>0.20835000000000004</v>
      </c>
      <c r="AS52" s="205">
        <f t="shared" si="21"/>
        <v>0.20330000000000004</v>
      </c>
      <c r="AT52" s="205">
        <f t="shared" si="21"/>
        <v>0.19825000000000004</v>
      </c>
      <c r="AU52" s="205">
        <f t="shared" si="21"/>
        <v>0.19320000000000004</v>
      </c>
      <c r="AV52" s="205">
        <f t="shared" si="21"/>
        <v>0.18815000000000004</v>
      </c>
      <c r="AW52" s="205">
        <f t="shared" si="21"/>
        <v>0.18310000000000004</v>
      </c>
      <c r="AX52" s="205">
        <f t="shared" si="21"/>
        <v>0.17805000000000004</v>
      </c>
      <c r="AY52" s="203">
        <f>$U$36</f>
        <v>0.17299999999999999</v>
      </c>
      <c r="AZ52" s="205">
        <f t="shared" si="25"/>
        <v>0.17299999999999999</v>
      </c>
      <c r="BA52" s="205">
        <f t="shared" si="25"/>
        <v>0.17299999999999999</v>
      </c>
      <c r="BB52" s="205">
        <f t="shared" si="25"/>
        <v>0.17299999999999999</v>
      </c>
      <c r="BC52" s="205">
        <f t="shared" si="25"/>
        <v>0.17299999999999999</v>
      </c>
      <c r="BD52" s="205">
        <f t="shared" si="25"/>
        <v>0.17299999999999999</v>
      </c>
      <c r="BE52" s="205">
        <f t="shared" si="25"/>
        <v>0.17299999999999999</v>
      </c>
      <c r="BF52" s="205">
        <f t="shared" si="25"/>
        <v>0.17299999999999999</v>
      </c>
      <c r="BG52" s="205">
        <f t="shared" si="25"/>
        <v>0.17299999999999999</v>
      </c>
      <c r="BH52" s="205">
        <f t="shared" si="25"/>
        <v>0.17299999999999999</v>
      </c>
      <c r="BI52" s="205">
        <f t="shared" si="25"/>
        <v>0.17299999999999999</v>
      </c>
      <c r="BJ52" s="205">
        <f t="shared" si="25"/>
        <v>0.17299999999999999</v>
      </c>
    </row>
    <row r="53" spans="1:62">
      <c r="A53" s="155" t="s">
        <v>77</v>
      </c>
      <c r="B53" s="170"/>
      <c r="C53" s="170"/>
      <c r="D53" s="170"/>
      <c r="E53" s="170"/>
      <c r="F53" s="170"/>
      <c r="G53" s="170"/>
      <c r="H53" s="170"/>
      <c r="I53" s="170"/>
      <c r="J53" s="170"/>
      <c r="K53" s="170"/>
      <c r="L53" s="170"/>
      <c r="M53" s="170"/>
      <c r="N53" s="170"/>
      <c r="O53" s="170"/>
      <c r="P53" s="170"/>
      <c r="Q53" s="170"/>
      <c r="R53" s="170"/>
      <c r="S53" s="171"/>
      <c r="T53" s="172">
        <f>$S$37</f>
        <v>0</v>
      </c>
      <c r="U53" s="173">
        <f t="shared" si="23"/>
        <v>7.0909090909090913E-3</v>
      </c>
      <c r="V53" s="169">
        <f t="shared" si="23"/>
        <v>1.4181818181818183E-2</v>
      </c>
      <c r="W53" s="169">
        <f t="shared" si="23"/>
        <v>2.1272727272727273E-2</v>
      </c>
      <c r="X53" s="169">
        <f t="shared" si="23"/>
        <v>2.8363636363636365E-2</v>
      </c>
      <c r="Y53" s="169">
        <f t="shared" si="23"/>
        <v>3.5454545454545454E-2</v>
      </c>
      <c r="Z53" s="169">
        <f t="shared" si="23"/>
        <v>4.2545454545454546E-2</v>
      </c>
      <c r="AA53" s="169">
        <f t="shared" si="23"/>
        <v>4.9636363636363638E-2</v>
      </c>
      <c r="AB53" s="169">
        <f t="shared" si="23"/>
        <v>5.672727272727273E-2</v>
      </c>
      <c r="AC53" s="169">
        <f t="shared" si="23"/>
        <v>6.3818181818181816E-2</v>
      </c>
      <c r="AD53" s="169">
        <f t="shared" si="23"/>
        <v>7.0909090909090908E-2</v>
      </c>
      <c r="AE53" s="172">
        <f>$T$37</f>
        <v>7.8E-2</v>
      </c>
      <c r="AF53" s="169">
        <f t="shared" si="24"/>
        <v>9.0649999999999994E-2</v>
      </c>
      <c r="AG53" s="169">
        <f t="shared" si="21"/>
        <v>0.10329999999999999</v>
      </c>
      <c r="AH53" s="169">
        <f t="shared" si="21"/>
        <v>0.11594999999999998</v>
      </c>
      <c r="AI53" s="169">
        <f t="shared" si="21"/>
        <v>0.12859999999999999</v>
      </c>
      <c r="AJ53" s="169">
        <f t="shared" si="21"/>
        <v>0.14124999999999999</v>
      </c>
      <c r="AK53" s="169">
        <f t="shared" si="21"/>
        <v>0.15389999999999998</v>
      </c>
      <c r="AL53" s="169">
        <f t="shared" si="21"/>
        <v>0.16654999999999998</v>
      </c>
      <c r="AM53" s="169">
        <f t="shared" si="21"/>
        <v>0.17919999999999997</v>
      </c>
      <c r="AN53" s="169">
        <f t="shared" si="21"/>
        <v>0.19184999999999997</v>
      </c>
      <c r="AO53" s="169">
        <f t="shared" si="21"/>
        <v>0.20449999999999996</v>
      </c>
      <c r="AP53" s="169">
        <f t="shared" si="21"/>
        <v>0.21714999999999995</v>
      </c>
      <c r="AQ53" s="169">
        <f t="shared" si="21"/>
        <v>0.22979999999999995</v>
      </c>
      <c r="AR53" s="169">
        <f t="shared" si="21"/>
        <v>0.24244999999999994</v>
      </c>
      <c r="AS53" s="169">
        <f t="shared" si="21"/>
        <v>0.25509999999999994</v>
      </c>
      <c r="AT53" s="169">
        <f t="shared" si="21"/>
        <v>0.26774999999999993</v>
      </c>
      <c r="AU53" s="169">
        <f t="shared" si="21"/>
        <v>0.28039999999999993</v>
      </c>
      <c r="AV53" s="169">
        <f t="shared" si="21"/>
        <v>0.29304999999999992</v>
      </c>
      <c r="AW53" s="169">
        <f t="shared" si="21"/>
        <v>0.30569999999999992</v>
      </c>
      <c r="AX53" s="169">
        <f t="shared" si="21"/>
        <v>0.31834999999999991</v>
      </c>
      <c r="AY53" s="172">
        <f>$U$37</f>
        <v>0.33100000000000002</v>
      </c>
      <c r="AZ53" s="169">
        <f>AY53</f>
        <v>0.33100000000000002</v>
      </c>
      <c r="BA53" s="169">
        <f t="shared" si="22"/>
        <v>0.33100000000000002</v>
      </c>
      <c r="BB53" s="169">
        <f t="shared" si="22"/>
        <v>0.33100000000000002</v>
      </c>
      <c r="BC53" s="169">
        <f t="shared" si="22"/>
        <v>0.33100000000000002</v>
      </c>
      <c r="BD53" s="169">
        <f t="shared" si="22"/>
        <v>0.33100000000000002</v>
      </c>
      <c r="BE53" s="169">
        <f t="shared" si="22"/>
        <v>0.33100000000000002</v>
      </c>
      <c r="BF53" s="169">
        <f t="shared" si="22"/>
        <v>0.33100000000000002</v>
      </c>
      <c r="BG53" s="169">
        <f t="shared" si="22"/>
        <v>0.33100000000000002</v>
      </c>
      <c r="BH53" s="169">
        <f t="shared" si="22"/>
        <v>0.33100000000000002</v>
      </c>
      <c r="BI53" s="169">
        <f t="shared" si="22"/>
        <v>0.33100000000000002</v>
      </c>
      <c r="BJ53" s="169">
        <f t="shared" si="22"/>
        <v>0.33100000000000002</v>
      </c>
    </row>
    <row r="54" spans="1:62">
      <c r="A54" s="174"/>
      <c r="B54" s="175"/>
      <c r="C54" s="175"/>
      <c r="D54" s="175"/>
      <c r="E54" s="175"/>
      <c r="F54" s="175"/>
      <c r="G54" s="175"/>
      <c r="H54" s="175"/>
      <c r="I54" s="175"/>
      <c r="J54" s="175"/>
      <c r="K54" s="175"/>
      <c r="L54" s="175"/>
      <c r="M54" s="175"/>
      <c r="N54" s="175"/>
      <c r="O54" s="175"/>
      <c r="P54" s="175"/>
      <c r="Q54" s="175"/>
      <c r="R54" s="175"/>
      <c r="S54" s="175"/>
      <c r="T54" s="175" t="b">
        <f>ROUND(SUM(T50,T53),10)=100%</f>
        <v>1</v>
      </c>
      <c r="U54" s="175" t="b">
        <f t="shared" ref="U54:BI54" si="26">ROUND(SUM(U50,U53),10)=100%</f>
        <v>1</v>
      </c>
      <c r="V54" s="175" t="b">
        <f t="shared" si="26"/>
        <v>1</v>
      </c>
      <c r="W54" s="175" t="b">
        <f t="shared" si="26"/>
        <v>1</v>
      </c>
      <c r="X54" s="175" t="b">
        <f t="shared" si="26"/>
        <v>1</v>
      </c>
      <c r="Y54" s="175" t="b">
        <f t="shared" si="26"/>
        <v>1</v>
      </c>
      <c r="Z54" s="175" t="b">
        <f t="shared" si="26"/>
        <v>1</v>
      </c>
      <c r="AA54" s="175" t="b">
        <f t="shared" si="26"/>
        <v>1</v>
      </c>
      <c r="AB54" s="175" t="b">
        <f t="shared" si="26"/>
        <v>1</v>
      </c>
      <c r="AC54" s="175" t="b">
        <f t="shared" si="26"/>
        <v>1</v>
      </c>
      <c r="AD54" s="175" t="b">
        <f t="shared" si="26"/>
        <v>1</v>
      </c>
      <c r="AE54" s="175" t="b">
        <f t="shared" si="26"/>
        <v>1</v>
      </c>
      <c r="AF54" s="175" t="b">
        <f t="shared" si="26"/>
        <v>1</v>
      </c>
      <c r="AG54" s="175" t="b">
        <f t="shared" si="26"/>
        <v>1</v>
      </c>
      <c r="AH54" s="175" t="b">
        <f t="shared" si="26"/>
        <v>1</v>
      </c>
      <c r="AI54" s="175" t="b">
        <f t="shared" si="26"/>
        <v>1</v>
      </c>
      <c r="AJ54" s="175" t="b">
        <f t="shared" si="26"/>
        <v>1</v>
      </c>
      <c r="AK54" s="175" t="b">
        <f t="shared" si="26"/>
        <v>1</v>
      </c>
      <c r="AL54" s="175" t="b">
        <f t="shared" si="26"/>
        <v>1</v>
      </c>
      <c r="AM54" s="175" t="b">
        <f t="shared" si="26"/>
        <v>1</v>
      </c>
      <c r="AN54" s="175" t="b">
        <f t="shared" si="26"/>
        <v>1</v>
      </c>
      <c r="AO54" s="175" t="b">
        <f t="shared" si="26"/>
        <v>1</v>
      </c>
      <c r="AP54" s="175" t="b">
        <f t="shared" si="26"/>
        <v>1</v>
      </c>
      <c r="AQ54" s="175" t="b">
        <f t="shared" si="26"/>
        <v>1</v>
      </c>
      <c r="AR54" s="175" t="b">
        <f t="shared" si="26"/>
        <v>1</v>
      </c>
      <c r="AS54" s="175" t="b">
        <f t="shared" si="26"/>
        <v>1</v>
      </c>
      <c r="AT54" s="175" t="b">
        <f t="shared" si="26"/>
        <v>1</v>
      </c>
      <c r="AU54" s="175" t="b">
        <f t="shared" si="26"/>
        <v>1</v>
      </c>
      <c r="AV54" s="175" t="b">
        <f t="shared" si="26"/>
        <v>1</v>
      </c>
      <c r="AW54" s="175" t="b">
        <f t="shared" si="26"/>
        <v>1</v>
      </c>
      <c r="AX54" s="175" t="b">
        <f t="shared" si="26"/>
        <v>1</v>
      </c>
      <c r="AY54" s="175" t="b">
        <f t="shared" si="26"/>
        <v>1</v>
      </c>
      <c r="AZ54" s="175" t="b">
        <f t="shared" si="26"/>
        <v>1</v>
      </c>
      <c r="BA54" s="175" t="b">
        <f t="shared" si="26"/>
        <v>1</v>
      </c>
      <c r="BB54" s="175" t="b">
        <f t="shared" si="26"/>
        <v>1</v>
      </c>
      <c r="BC54" s="175" t="b">
        <f t="shared" si="26"/>
        <v>1</v>
      </c>
      <c r="BD54" s="175" t="b">
        <f t="shared" si="26"/>
        <v>1</v>
      </c>
      <c r="BE54" s="175" t="b">
        <f t="shared" si="26"/>
        <v>1</v>
      </c>
      <c r="BF54" s="175" t="b">
        <f t="shared" si="26"/>
        <v>1</v>
      </c>
      <c r="BG54" s="175" t="b">
        <f t="shared" si="26"/>
        <v>1</v>
      </c>
      <c r="BH54" s="175" t="b">
        <f t="shared" si="26"/>
        <v>1</v>
      </c>
      <c r="BI54" s="175" t="b">
        <f t="shared" si="26"/>
        <v>1</v>
      </c>
      <c r="BJ54" s="175" t="b">
        <f t="shared" ref="BJ54" si="27">ROUND(SUM(BJ50,BJ53),10)=100%</f>
        <v>1</v>
      </c>
    </row>
    <row r="55" spans="1:62">
      <c r="A55" s="166" t="s">
        <v>88</v>
      </c>
      <c r="AG55" s="35"/>
      <c r="BJ55" s="592"/>
    </row>
    <row r="56" spans="1:62">
      <c r="A56" s="9" t="s">
        <v>72</v>
      </c>
      <c r="B56" s="663" t="s">
        <v>0</v>
      </c>
      <c r="C56" s="2"/>
      <c r="D56" s="2"/>
      <c r="E56" s="2"/>
      <c r="F56" s="2"/>
      <c r="G56" s="2"/>
      <c r="H56" s="2"/>
      <c r="I56" s="2"/>
      <c r="J56" s="2"/>
      <c r="K56" s="2"/>
      <c r="L56" s="2"/>
      <c r="M56" s="2"/>
      <c r="N56" s="2"/>
      <c r="O56" s="2"/>
      <c r="P56" s="2"/>
      <c r="Q56" s="6"/>
      <c r="R56" s="6"/>
      <c r="S56" s="6"/>
      <c r="T56" s="6">
        <v>2019</v>
      </c>
      <c r="U56" s="6">
        <f t="shared" ref="U56:BJ56" si="28">T56+1</f>
        <v>2020</v>
      </c>
      <c r="V56" s="6">
        <f t="shared" si="28"/>
        <v>2021</v>
      </c>
      <c r="W56" s="6">
        <f t="shared" si="28"/>
        <v>2022</v>
      </c>
      <c r="X56" s="6">
        <f t="shared" si="28"/>
        <v>2023</v>
      </c>
      <c r="Y56" s="6">
        <f t="shared" si="28"/>
        <v>2024</v>
      </c>
      <c r="Z56" s="6">
        <f t="shared" si="28"/>
        <v>2025</v>
      </c>
      <c r="AA56" s="6">
        <f t="shared" si="28"/>
        <v>2026</v>
      </c>
      <c r="AB56" s="6">
        <f t="shared" si="28"/>
        <v>2027</v>
      </c>
      <c r="AC56" s="6">
        <f t="shared" si="28"/>
        <v>2028</v>
      </c>
      <c r="AD56" s="6">
        <f t="shared" si="28"/>
        <v>2029</v>
      </c>
      <c r="AE56" s="6">
        <f t="shared" si="28"/>
        <v>2030</v>
      </c>
      <c r="AF56" s="6">
        <f t="shared" si="28"/>
        <v>2031</v>
      </c>
      <c r="AG56" s="6">
        <f t="shared" si="28"/>
        <v>2032</v>
      </c>
      <c r="AH56" s="6">
        <f t="shared" si="28"/>
        <v>2033</v>
      </c>
      <c r="AI56" s="6">
        <f t="shared" si="28"/>
        <v>2034</v>
      </c>
      <c r="AJ56" s="6">
        <f t="shared" si="28"/>
        <v>2035</v>
      </c>
      <c r="AK56" s="6">
        <f t="shared" si="28"/>
        <v>2036</v>
      </c>
      <c r="AL56" s="6">
        <f t="shared" si="28"/>
        <v>2037</v>
      </c>
      <c r="AM56" s="6">
        <f t="shared" si="28"/>
        <v>2038</v>
      </c>
      <c r="AN56" s="6">
        <f t="shared" si="28"/>
        <v>2039</v>
      </c>
      <c r="AO56" s="6">
        <f t="shared" si="28"/>
        <v>2040</v>
      </c>
      <c r="AP56" s="6">
        <f t="shared" si="28"/>
        <v>2041</v>
      </c>
      <c r="AQ56" s="6">
        <f t="shared" si="28"/>
        <v>2042</v>
      </c>
      <c r="AR56" s="6">
        <f t="shared" si="28"/>
        <v>2043</v>
      </c>
      <c r="AS56" s="6">
        <f t="shared" si="28"/>
        <v>2044</v>
      </c>
      <c r="AT56" s="6">
        <f t="shared" si="28"/>
        <v>2045</v>
      </c>
      <c r="AU56" s="6">
        <f t="shared" si="28"/>
        <v>2046</v>
      </c>
      <c r="AV56" s="6">
        <f t="shared" si="28"/>
        <v>2047</v>
      </c>
      <c r="AW56" s="6">
        <f t="shared" si="28"/>
        <v>2048</v>
      </c>
      <c r="AX56" s="6">
        <f t="shared" si="28"/>
        <v>2049</v>
      </c>
      <c r="AY56" s="6">
        <f t="shared" si="28"/>
        <v>2050</v>
      </c>
      <c r="AZ56" s="6">
        <f t="shared" si="28"/>
        <v>2051</v>
      </c>
      <c r="BA56" s="6">
        <f t="shared" si="28"/>
        <v>2052</v>
      </c>
      <c r="BB56" s="6">
        <f t="shared" si="28"/>
        <v>2053</v>
      </c>
      <c r="BC56" s="6">
        <f t="shared" si="28"/>
        <v>2054</v>
      </c>
      <c r="BD56" s="6">
        <f t="shared" si="28"/>
        <v>2055</v>
      </c>
      <c r="BE56" s="6">
        <f t="shared" si="28"/>
        <v>2056</v>
      </c>
      <c r="BF56" s="6">
        <f t="shared" si="28"/>
        <v>2057</v>
      </c>
      <c r="BG56" s="6">
        <f t="shared" si="28"/>
        <v>2058</v>
      </c>
      <c r="BH56" s="6">
        <f t="shared" si="28"/>
        <v>2059</v>
      </c>
      <c r="BI56" s="6">
        <f t="shared" si="28"/>
        <v>2060</v>
      </c>
      <c r="BJ56" s="6">
        <f t="shared" si="28"/>
        <v>2061</v>
      </c>
    </row>
    <row r="57" spans="1:62">
      <c r="A57" s="155" t="s">
        <v>89</v>
      </c>
      <c r="B57" s="170"/>
      <c r="C57" s="170"/>
      <c r="D57" s="170"/>
      <c r="E57" s="170"/>
      <c r="F57" s="170"/>
      <c r="G57" s="170"/>
      <c r="H57" s="170"/>
      <c r="I57" s="170"/>
      <c r="J57" s="170"/>
      <c r="K57" s="170"/>
      <c r="L57" s="170"/>
      <c r="M57" s="170"/>
      <c r="N57" s="170"/>
      <c r="O57" s="170"/>
      <c r="P57" s="170"/>
      <c r="Q57" s="170"/>
      <c r="R57" s="170"/>
      <c r="S57" s="171"/>
      <c r="T57" s="172">
        <f>$Y$34</f>
        <v>1</v>
      </c>
      <c r="U57" s="173">
        <f>T57+($AE57-$T57)/($AE$56-$T$56)</f>
        <v>1</v>
      </c>
      <c r="V57" s="169">
        <f t="shared" ref="V57:AD57" si="29">U57+($AE57-$T57)/($AE$56-$T$56)</f>
        <v>1</v>
      </c>
      <c r="W57" s="169">
        <f t="shared" si="29"/>
        <v>1</v>
      </c>
      <c r="X57" s="169">
        <f t="shared" si="29"/>
        <v>1</v>
      </c>
      <c r="Y57" s="169">
        <f t="shared" si="29"/>
        <v>1</v>
      </c>
      <c r="Z57" s="169">
        <f t="shared" si="29"/>
        <v>1</v>
      </c>
      <c r="AA57" s="169">
        <f t="shared" si="29"/>
        <v>1</v>
      </c>
      <c r="AB57" s="169">
        <f t="shared" si="29"/>
        <v>1</v>
      </c>
      <c r="AC57" s="169">
        <f t="shared" si="29"/>
        <v>1</v>
      </c>
      <c r="AD57" s="169">
        <f t="shared" si="29"/>
        <v>1</v>
      </c>
      <c r="AE57" s="172">
        <f>$Z$34</f>
        <v>1</v>
      </c>
      <c r="AF57" s="169">
        <f>AE57+($AY57-$AE57)/($AY$56-$AE$56)</f>
        <v>1</v>
      </c>
      <c r="AG57" s="169">
        <f t="shared" ref="AG57:AX57" si="30">AF57+($AY57-$AE57)/($AY$56-$AE$56)</f>
        <v>1</v>
      </c>
      <c r="AH57" s="169">
        <f t="shared" si="30"/>
        <v>1</v>
      </c>
      <c r="AI57" s="169">
        <f t="shared" si="30"/>
        <v>1</v>
      </c>
      <c r="AJ57" s="169">
        <f t="shared" si="30"/>
        <v>1</v>
      </c>
      <c r="AK57" s="169">
        <f t="shared" si="30"/>
        <v>1</v>
      </c>
      <c r="AL57" s="169">
        <f t="shared" si="30"/>
        <v>1</v>
      </c>
      <c r="AM57" s="169">
        <f t="shared" si="30"/>
        <v>1</v>
      </c>
      <c r="AN57" s="169">
        <f t="shared" si="30"/>
        <v>1</v>
      </c>
      <c r="AO57" s="169">
        <f t="shared" si="30"/>
        <v>1</v>
      </c>
      <c r="AP57" s="169">
        <f t="shared" si="30"/>
        <v>1</v>
      </c>
      <c r="AQ57" s="169">
        <f t="shared" si="30"/>
        <v>1</v>
      </c>
      <c r="AR57" s="169">
        <f t="shared" si="30"/>
        <v>1</v>
      </c>
      <c r="AS57" s="169">
        <f t="shared" si="30"/>
        <v>1</v>
      </c>
      <c r="AT57" s="169">
        <f t="shared" si="30"/>
        <v>1</v>
      </c>
      <c r="AU57" s="169">
        <f t="shared" si="30"/>
        <v>1</v>
      </c>
      <c r="AV57" s="169">
        <f t="shared" si="30"/>
        <v>1</v>
      </c>
      <c r="AW57" s="169">
        <f t="shared" si="30"/>
        <v>1</v>
      </c>
      <c r="AX57" s="169">
        <f t="shared" si="30"/>
        <v>1</v>
      </c>
      <c r="AY57" s="172">
        <f>AA34</f>
        <v>1</v>
      </c>
      <c r="AZ57" s="169">
        <f>AY57</f>
        <v>1</v>
      </c>
      <c r="BA57" s="169">
        <f t="shared" ref="BA57:BJ58" si="31">AZ57</f>
        <v>1</v>
      </c>
      <c r="BB57" s="169">
        <f t="shared" si="31"/>
        <v>1</v>
      </c>
      <c r="BC57" s="169">
        <f t="shared" si="31"/>
        <v>1</v>
      </c>
      <c r="BD57" s="169">
        <f t="shared" si="31"/>
        <v>1</v>
      </c>
      <c r="BE57" s="169">
        <f t="shared" si="31"/>
        <v>1</v>
      </c>
      <c r="BF57" s="169">
        <f t="shared" si="31"/>
        <v>1</v>
      </c>
      <c r="BG57" s="169">
        <f t="shared" si="31"/>
        <v>1</v>
      </c>
      <c r="BH57" s="169">
        <f t="shared" si="31"/>
        <v>1</v>
      </c>
      <c r="BI57" s="169">
        <f t="shared" si="31"/>
        <v>1</v>
      </c>
      <c r="BJ57" s="169">
        <f t="shared" si="31"/>
        <v>1</v>
      </c>
    </row>
    <row r="58" spans="1:62">
      <c r="A58" s="155" t="s">
        <v>77</v>
      </c>
      <c r="B58" s="170"/>
      <c r="C58" s="170"/>
      <c r="D58" s="170"/>
      <c r="E58" s="170"/>
      <c r="F58" s="170"/>
      <c r="G58" s="170"/>
      <c r="H58" s="170"/>
      <c r="I58" s="170"/>
      <c r="J58" s="170"/>
      <c r="K58" s="170"/>
      <c r="L58" s="170"/>
      <c r="M58" s="170"/>
      <c r="N58" s="170"/>
      <c r="O58" s="170"/>
      <c r="P58" s="170"/>
      <c r="Q58" s="170"/>
      <c r="R58" s="170"/>
      <c r="S58" s="171"/>
      <c r="T58" s="172">
        <f>$Y$37</f>
        <v>0</v>
      </c>
      <c r="U58" s="173">
        <f>T58+($AE58-$T58)/($AE$56-$T$56)</f>
        <v>0</v>
      </c>
      <c r="V58" s="169">
        <f t="shared" ref="V58:AD58" si="32">U58+($AE58-$T58)/($AE$56-$T$56)</f>
        <v>0</v>
      </c>
      <c r="W58" s="169">
        <f t="shared" si="32"/>
        <v>0</v>
      </c>
      <c r="X58" s="169">
        <f t="shared" si="32"/>
        <v>0</v>
      </c>
      <c r="Y58" s="169">
        <f t="shared" si="32"/>
        <v>0</v>
      </c>
      <c r="Z58" s="169">
        <f t="shared" si="32"/>
        <v>0</v>
      </c>
      <c r="AA58" s="169">
        <f t="shared" si="32"/>
        <v>0</v>
      </c>
      <c r="AB58" s="169">
        <f t="shared" si="32"/>
        <v>0</v>
      </c>
      <c r="AC58" s="169">
        <f t="shared" si="32"/>
        <v>0</v>
      </c>
      <c r="AD58" s="169">
        <f t="shared" si="32"/>
        <v>0</v>
      </c>
      <c r="AE58" s="172">
        <f>$Z$37</f>
        <v>0</v>
      </c>
      <c r="AF58" s="169">
        <f>AE58+($AY58-$AE58)/($AY$56-$AE$56)</f>
        <v>0</v>
      </c>
      <c r="AG58" s="169">
        <f t="shared" ref="AG58:AX58" si="33">AF58+($AY58-$AE58)/($AY$56-$AE$56)</f>
        <v>0</v>
      </c>
      <c r="AH58" s="169">
        <f t="shared" si="33"/>
        <v>0</v>
      </c>
      <c r="AI58" s="169">
        <f t="shared" si="33"/>
        <v>0</v>
      </c>
      <c r="AJ58" s="169">
        <f t="shared" si="33"/>
        <v>0</v>
      </c>
      <c r="AK58" s="169">
        <f t="shared" si="33"/>
        <v>0</v>
      </c>
      <c r="AL58" s="169">
        <f t="shared" si="33"/>
        <v>0</v>
      </c>
      <c r="AM58" s="169">
        <f t="shared" si="33"/>
        <v>0</v>
      </c>
      <c r="AN58" s="169">
        <f t="shared" si="33"/>
        <v>0</v>
      </c>
      <c r="AO58" s="169">
        <f t="shared" si="33"/>
        <v>0</v>
      </c>
      <c r="AP58" s="169">
        <f t="shared" si="33"/>
        <v>0</v>
      </c>
      <c r="AQ58" s="169">
        <f t="shared" si="33"/>
        <v>0</v>
      </c>
      <c r="AR58" s="169">
        <f t="shared" si="33"/>
        <v>0</v>
      </c>
      <c r="AS58" s="169">
        <f t="shared" si="33"/>
        <v>0</v>
      </c>
      <c r="AT58" s="169">
        <f t="shared" si="33"/>
        <v>0</v>
      </c>
      <c r="AU58" s="169">
        <f t="shared" si="33"/>
        <v>0</v>
      </c>
      <c r="AV58" s="169">
        <f t="shared" si="33"/>
        <v>0</v>
      </c>
      <c r="AW58" s="169">
        <f t="shared" si="33"/>
        <v>0</v>
      </c>
      <c r="AX58" s="169">
        <f t="shared" si="33"/>
        <v>0</v>
      </c>
      <c r="AY58" s="172">
        <f>AA37</f>
        <v>0</v>
      </c>
      <c r="AZ58" s="169">
        <f>AY58</f>
        <v>0</v>
      </c>
      <c r="BA58" s="169">
        <f t="shared" si="31"/>
        <v>0</v>
      </c>
      <c r="BB58" s="169">
        <f t="shared" si="31"/>
        <v>0</v>
      </c>
      <c r="BC58" s="169">
        <f t="shared" si="31"/>
        <v>0</v>
      </c>
      <c r="BD58" s="169">
        <f t="shared" si="31"/>
        <v>0</v>
      </c>
      <c r="BE58" s="169">
        <f t="shared" si="31"/>
        <v>0</v>
      </c>
      <c r="BF58" s="169">
        <f t="shared" si="31"/>
        <v>0</v>
      </c>
      <c r="BG58" s="169">
        <f t="shared" si="31"/>
        <v>0</v>
      </c>
      <c r="BH58" s="169">
        <f t="shared" si="31"/>
        <v>0</v>
      </c>
      <c r="BI58" s="169">
        <f t="shared" si="31"/>
        <v>0</v>
      </c>
      <c r="BJ58" s="169">
        <f t="shared" si="31"/>
        <v>0</v>
      </c>
    </row>
    <row r="59" spans="1:62">
      <c r="A59" s="174"/>
      <c r="B59" s="175"/>
      <c r="C59" s="175"/>
      <c r="D59" s="175"/>
      <c r="E59" s="175"/>
      <c r="F59" s="175"/>
      <c r="G59" s="175"/>
      <c r="H59" s="175"/>
      <c r="I59" s="175"/>
      <c r="J59" s="175"/>
      <c r="K59" s="175"/>
      <c r="L59" s="175"/>
      <c r="M59" s="175"/>
      <c r="N59" s="175"/>
      <c r="O59" s="175"/>
      <c r="P59" s="175"/>
      <c r="Q59" s="175"/>
      <c r="R59" s="175"/>
      <c r="S59" s="175"/>
      <c r="T59" s="175" t="b">
        <f>ROUND(SUM(T57,T58),10)=100%</f>
        <v>1</v>
      </c>
      <c r="U59" s="175" t="b">
        <f t="shared" ref="U59:BI59" si="34">ROUND(SUM(U57,U58),10)=100%</f>
        <v>1</v>
      </c>
      <c r="V59" s="175" t="b">
        <f t="shared" si="34"/>
        <v>1</v>
      </c>
      <c r="W59" s="175" t="b">
        <f t="shared" si="34"/>
        <v>1</v>
      </c>
      <c r="X59" s="175" t="b">
        <f t="shared" si="34"/>
        <v>1</v>
      </c>
      <c r="Y59" s="175" t="b">
        <f t="shared" si="34"/>
        <v>1</v>
      </c>
      <c r="Z59" s="175" t="b">
        <f t="shared" si="34"/>
        <v>1</v>
      </c>
      <c r="AA59" s="175" t="b">
        <f t="shared" si="34"/>
        <v>1</v>
      </c>
      <c r="AB59" s="175" t="b">
        <f t="shared" si="34"/>
        <v>1</v>
      </c>
      <c r="AC59" s="175" t="b">
        <f t="shared" si="34"/>
        <v>1</v>
      </c>
      <c r="AD59" s="175" t="b">
        <f t="shared" si="34"/>
        <v>1</v>
      </c>
      <c r="AE59" s="175" t="b">
        <f t="shared" si="34"/>
        <v>1</v>
      </c>
      <c r="AF59" s="175" t="b">
        <f t="shared" si="34"/>
        <v>1</v>
      </c>
      <c r="AG59" s="175" t="b">
        <f t="shared" si="34"/>
        <v>1</v>
      </c>
      <c r="AH59" s="175" t="b">
        <f t="shared" si="34"/>
        <v>1</v>
      </c>
      <c r="AI59" s="175" t="b">
        <f t="shared" si="34"/>
        <v>1</v>
      </c>
      <c r="AJ59" s="175" t="b">
        <f t="shared" si="34"/>
        <v>1</v>
      </c>
      <c r="AK59" s="175" t="b">
        <f t="shared" si="34"/>
        <v>1</v>
      </c>
      <c r="AL59" s="175" t="b">
        <f t="shared" si="34"/>
        <v>1</v>
      </c>
      <c r="AM59" s="175" t="b">
        <f t="shared" si="34"/>
        <v>1</v>
      </c>
      <c r="AN59" s="175" t="b">
        <f t="shared" si="34"/>
        <v>1</v>
      </c>
      <c r="AO59" s="175" t="b">
        <f t="shared" si="34"/>
        <v>1</v>
      </c>
      <c r="AP59" s="175" t="b">
        <f t="shared" si="34"/>
        <v>1</v>
      </c>
      <c r="AQ59" s="175" t="b">
        <f t="shared" si="34"/>
        <v>1</v>
      </c>
      <c r="AR59" s="175" t="b">
        <f t="shared" si="34"/>
        <v>1</v>
      </c>
      <c r="AS59" s="175" t="b">
        <f t="shared" si="34"/>
        <v>1</v>
      </c>
      <c r="AT59" s="175" t="b">
        <f t="shared" si="34"/>
        <v>1</v>
      </c>
      <c r="AU59" s="175" t="b">
        <f t="shared" si="34"/>
        <v>1</v>
      </c>
      <c r="AV59" s="175" t="b">
        <f t="shared" si="34"/>
        <v>1</v>
      </c>
      <c r="AW59" s="175" t="b">
        <f t="shared" si="34"/>
        <v>1</v>
      </c>
      <c r="AX59" s="175" t="b">
        <f t="shared" si="34"/>
        <v>1</v>
      </c>
      <c r="AY59" s="175" t="b">
        <f t="shared" si="34"/>
        <v>1</v>
      </c>
      <c r="AZ59" s="175" t="b">
        <f t="shared" si="34"/>
        <v>1</v>
      </c>
      <c r="BA59" s="175" t="b">
        <f t="shared" si="34"/>
        <v>1</v>
      </c>
      <c r="BB59" s="175" t="b">
        <f t="shared" si="34"/>
        <v>1</v>
      </c>
      <c r="BC59" s="175" t="b">
        <f t="shared" si="34"/>
        <v>1</v>
      </c>
      <c r="BD59" s="175" t="b">
        <f t="shared" si="34"/>
        <v>1</v>
      </c>
      <c r="BE59" s="175" t="b">
        <f t="shared" si="34"/>
        <v>1</v>
      </c>
      <c r="BF59" s="175" t="b">
        <f t="shared" si="34"/>
        <v>1</v>
      </c>
      <c r="BG59" s="175" t="b">
        <f t="shared" si="34"/>
        <v>1</v>
      </c>
      <c r="BH59" s="175" t="b">
        <f t="shared" si="34"/>
        <v>1</v>
      </c>
      <c r="BI59" s="175" t="b">
        <f t="shared" si="34"/>
        <v>1</v>
      </c>
      <c r="BJ59" s="175" t="b">
        <f t="shared" ref="BJ59" si="35">ROUND(SUM(BJ57,BJ58),10)=100%</f>
        <v>1</v>
      </c>
    </row>
    <row r="60" spans="1:62">
      <c r="A60" s="754" t="s">
        <v>585</v>
      </c>
      <c r="B60" s="754"/>
      <c r="C60" s="754"/>
      <c r="D60" s="754"/>
      <c r="E60" s="754"/>
      <c r="F60" s="754"/>
      <c r="G60" s="754"/>
      <c r="H60" s="754"/>
      <c r="I60" s="754"/>
      <c r="J60" s="754"/>
      <c r="K60" s="754"/>
      <c r="L60" s="754"/>
      <c r="M60" s="754"/>
      <c r="N60" s="754"/>
      <c r="O60" s="754"/>
      <c r="P60" s="754"/>
      <c r="Q60" s="754"/>
      <c r="R60" s="754"/>
      <c r="S60" s="754"/>
      <c r="T60" s="754"/>
      <c r="U60" s="754"/>
      <c r="V60" s="754"/>
    </row>
    <row r="61" spans="1:62" s="592" customFormat="1">
      <c r="A61" s="754"/>
      <c r="B61" s="754"/>
      <c r="C61" s="754"/>
      <c r="D61" s="754"/>
      <c r="E61" s="754"/>
      <c r="F61" s="754"/>
      <c r="G61" s="754"/>
      <c r="H61" s="754"/>
      <c r="I61" s="754"/>
      <c r="J61" s="754"/>
      <c r="K61" s="754"/>
      <c r="L61" s="754"/>
      <c r="M61" s="754"/>
      <c r="N61" s="754"/>
      <c r="O61" s="754"/>
      <c r="P61" s="754"/>
      <c r="Q61" s="754"/>
      <c r="R61" s="754"/>
      <c r="S61" s="754"/>
      <c r="T61" s="754"/>
      <c r="U61" s="754"/>
      <c r="V61" s="754"/>
    </row>
    <row r="62" spans="1:62">
      <c r="A62" s="754" t="s">
        <v>586</v>
      </c>
      <c r="B62" s="754"/>
      <c r="C62" s="754"/>
      <c r="D62" s="754"/>
      <c r="E62" s="754"/>
      <c r="F62" s="754"/>
      <c r="G62" s="754"/>
      <c r="H62" s="754"/>
      <c r="I62" s="754"/>
      <c r="J62" s="754"/>
      <c r="K62" s="754"/>
      <c r="L62" s="754"/>
      <c r="M62" s="754"/>
      <c r="N62" s="754"/>
      <c r="O62" s="754"/>
      <c r="P62" s="754"/>
      <c r="Q62" s="754"/>
      <c r="R62" s="754"/>
      <c r="S62" s="754"/>
      <c r="T62" s="754"/>
      <c r="U62" s="754"/>
      <c r="V62" s="754"/>
    </row>
    <row r="63" spans="1:62" s="592" customFormat="1">
      <c r="A63" s="754"/>
      <c r="B63" s="754"/>
      <c r="C63" s="754"/>
      <c r="D63" s="754"/>
      <c r="E63" s="754"/>
      <c r="F63" s="754"/>
      <c r="G63" s="754"/>
      <c r="H63" s="754"/>
      <c r="I63" s="754"/>
      <c r="J63" s="754"/>
      <c r="K63" s="754"/>
      <c r="L63" s="754"/>
      <c r="M63" s="754"/>
      <c r="N63" s="754"/>
      <c r="O63" s="754"/>
      <c r="P63" s="754"/>
      <c r="Q63" s="754"/>
      <c r="R63" s="754"/>
      <c r="S63" s="754"/>
      <c r="T63" s="754"/>
      <c r="U63" s="754"/>
      <c r="V63" s="754"/>
    </row>
    <row r="64" spans="1:62"/>
    <row r="65" spans="1:22">
      <c r="A65" s="315" t="s">
        <v>78</v>
      </c>
    </row>
    <row r="66" spans="1:22">
      <c r="A66" s="125" t="s">
        <v>472</v>
      </c>
    </row>
    <row r="67" spans="1:22">
      <c r="A67" s="125" t="s">
        <v>587</v>
      </c>
    </row>
    <row r="68" spans="1:22">
      <c r="A68" s="821" t="s">
        <v>588</v>
      </c>
      <c r="B68" s="821"/>
      <c r="C68" s="821"/>
      <c r="D68" s="821"/>
      <c r="E68" s="821"/>
      <c r="F68" s="821"/>
      <c r="G68" s="821"/>
      <c r="H68" s="821"/>
      <c r="I68" s="821"/>
      <c r="J68" s="821"/>
      <c r="K68" s="821"/>
      <c r="L68" s="821"/>
      <c r="M68" s="821"/>
      <c r="N68" s="821"/>
      <c r="O68" s="821"/>
      <c r="P68" s="821"/>
      <c r="Q68" s="821"/>
      <c r="R68" s="821"/>
      <c r="S68" s="821"/>
      <c r="T68" s="821"/>
      <c r="U68" s="821"/>
      <c r="V68" s="821"/>
    </row>
    <row r="69" spans="1:22" s="592" customFormat="1">
      <c r="A69" s="821"/>
      <c r="B69" s="821"/>
      <c r="C69" s="821"/>
      <c r="D69" s="821"/>
      <c r="E69" s="821"/>
      <c r="F69" s="821"/>
      <c r="G69" s="821"/>
      <c r="H69" s="821"/>
      <c r="I69" s="821"/>
      <c r="J69" s="821"/>
      <c r="K69" s="821"/>
      <c r="L69" s="821"/>
      <c r="M69" s="821"/>
      <c r="N69" s="821"/>
      <c r="O69" s="821"/>
      <c r="P69" s="821"/>
      <c r="Q69" s="821"/>
      <c r="R69" s="821"/>
      <c r="S69" s="821"/>
      <c r="T69" s="821"/>
      <c r="U69" s="821"/>
      <c r="V69" s="821"/>
    </row>
    <row r="70" spans="1:22">
      <c r="A70" s="821" t="s">
        <v>589</v>
      </c>
      <c r="B70" s="821"/>
      <c r="C70" s="821"/>
      <c r="D70" s="821"/>
      <c r="E70" s="821"/>
      <c r="F70" s="821"/>
      <c r="G70" s="821"/>
      <c r="H70" s="821"/>
      <c r="I70" s="821"/>
      <c r="J70" s="821"/>
      <c r="K70" s="821"/>
      <c r="L70" s="821"/>
      <c r="M70" s="821"/>
      <c r="N70" s="821"/>
      <c r="O70" s="821"/>
      <c r="P70" s="821"/>
      <c r="Q70" s="821"/>
      <c r="R70" s="821"/>
      <c r="S70" s="821"/>
      <c r="T70" s="821"/>
      <c r="U70" s="821"/>
      <c r="V70" s="821"/>
    </row>
    <row r="71" spans="1:22" s="592" customFormat="1">
      <c r="A71" s="821"/>
      <c r="B71" s="821"/>
      <c r="C71" s="821"/>
      <c r="D71" s="821"/>
      <c r="E71" s="821"/>
      <c r="F71" s="821"/>
      <c r="G71" s="821"/>
      <c r="H71" s="821"/>
      <c r="I71" s="821"/>
      <c r="J71" s="821"/>
      <c r="K71" s="821"/>
      <c r="L71" s="821"/>
      <c r="M71" s="821"/>
      <c r="N71" s="821"/>
      <c r="O71" s="821"/>
      <c r="P71" s="821"/>
      <c r="Q71" s="821"/>
      <c r="R71" s="821"/>
      <c r="S71" s="821"/>
      <c r="T71" s="821"/>
      <c r="U71" s="821"/>
      <c r="V71" s="821"/>
    </row>
    <row r="72" spans="1:22"/>
    <row r="73" spans="1:22"/>
    <row r="74" spans="1:22"/>
    <row r="75" spans="1:22">
      <c r="A75" s="113" t="s">
        <v>590</v>
      </c>
      <c r="B75" s="113"/>
      <c r="C75" s="113"/>
      <c r="D75" s="113"/>
      <c r="E75" s="113"/>
      <c r="F75" s="113"/>
      <c r="G75" s="113"/>
      <c r="H75" s="113"/>
      <c r="I75" s="113"/>
      <c r="J75" s="113"/>
      <c r="K75" s="113"/>
      <c r="L75" s="113"/>
      <c r="M75" s="113"/>
      <c r="N75" s="113"/>
      <c r="O75" s="113"/>
      <c r="P75" s="113"/>
      <c r="Q75" s="113"/>
      <c r="R75" s="113"/>
      <c r="S75" s="113"/>
      <c r="T75" s="113"/>
      <c r="U75"/>
    </row>
    <row r="76" spans="1:22" hidden="1" outlineLevel="1"/>
    <row r="77" spans="1:22" hidden="1" outlineLevel="1">
      <c r="A77" s="1" t="s">
        <v>156</v>
      </c>
    </row>
    <row r="78" spans="1:22" hidden="1" outlineLevel="1">
      <c r="A78" s="774" t="s">
        <v>591</v>
      </c>
      <c r="B78" s="774"/>
      <c r="C78" s="774"/>
      <c r="D78" s="774"/>
      <c r="E78" s="774"/>
      <c r="F78" s="774"/>
      <c r="G78" s="774"/>
      <c r="H78" s="774"/>
      <c r="I78" s="774"/>
      <c r="J78" s="774"/>
      <c r="K78" s="774"/>
      <c r="L78" s="774"/>
      <c r="M78" s="774"/>
      <c r="N78" s="774"/>
      <c r="O78" s="774"/>
      <c r="P78" s="774"/>
      <c r="Q78" s="774"/>
      <c r="R78" s="774"/>
      <c r="S78" s="774"/>
      <c r="T78" s="774"/>
      <c r="U78" s="774"/>
      <c r="V78" s="774"/>
    </row>
    <row r="79" spans="1:22" s="592" customFormat="1" hidden="1" outlineLevel="1">
      <c r="A79" s="774"/>
      <c r="B79" s="774"/>
      <c r="C79" s="774"/>
      <c r="D79" s="774"/>
      <c r="E79" s="774"/>
      <c r="F79" s="774"/>
      <c r="G79" s="774"/>
      <c r="H79" s="774"/>
      <c r="I79" s="774"/>
      <c r="J79" s="774"/>
      <c r="K79" s="774"/>
      <c r="L79" s="774"/>
      <c r="M79" s="774"/>
      <c r="N79" s="774"/>
      <c r="O79" s="774"/>
      <c r="P79" s="774"/>
      <c r="Q79" s="774"/>
      <c r="R79" s="774"/>
      <c r="S79" s="774"/>
      <c r="T79" s="774"/>
      <c r="U79" s="774"/>
      <c r="V79" s="774"/>
    </row>
    <row r="80" spans="1:22" s="592" customFormat="1" ht="15.75" hidden="1" outlineLevel="1" thickBot="1">
      <c r="A80" s="774"/>
      <c r="B80" s="774"/>
      <c r="C80" s="774"/>
      <c r="D80" s="774"/>
      <c r="E80" s="774"/>
      <c r="F80" s="774"/>
      <c r="G80" s="774"/>
      <c r="H80" s="774"/>
      <c r="I80" s="774"/>
      <c r="J80" s="774"/>
      <c r="K80" s="774"/>
      <c r="L80" s="774"/>
      <c r="M80" s="774"/>
      <c r="N80" s="774"/>
      <c r="O80" s="774"/>
      <c r="P80" s="774"/>
      <c r="Q80" s="774"/>
      <c r="R80" s="774"/>
      <c r="S80" s="774"/>
      <c r="T80" s="774"/>
      <c r="U80" s="774"/>
      <c r="V80" s="774"/>
    </row>
    <row r="81" spans="19:34" s="503" customFormat="1" hidden="1" outlineLevel="1">
      <c r="S81" s="811" t="s">
        <v>298</v>
      </c>
      <c r="T81" s="812"/>
      <c r="U81" s="813"/>
      <c r="W81" s="811" t="s">
        <v>298</v>
      </c>
      <c r="X81" s="812"/>
      <c r="Y81" s="813"/>
      <c r="AA81" s="810" t="s">
        <v>126</v>
      </c>
      <c r="AB81" s="810"/>
      <c r="AC81" s="810"/>
      <c r="AD81" s="810"/>
      <c r="AE81" s="810"/>
      <c r="AF81" s="810"/>
      <c r="AG81" s="810"/>
      <c r="AH81" s="810"/>
    </row>
    <row r="82" spans="19:34" s="503" customFormat="1" ht="15.75" hidden="1" outlineLevel="1" thickBot="1">
      <c r="S82" s="807" t="s">
        <v>7</v>
      </c>
      <c r="T82" s="808"/>
      <c r="U82" s="809"/>
      <c r="W82" s="807" t="s">
        <v>7</v>
      </c>
      <c r="X82" s="808"/>
      <c r="Y82" s="809"/>
      <c r="AA82" s="810"/>
      <c r="AB82" s="810"/>
      <c r="AC82" s="810"/>
      <c r="AD82" s="810"/>
      <c r="AE82" s="810"/>
      <c r="AF82" s="810"/>
      <c r="AG82" s="810"/>
      <c r="AH82" s="810"/>
    </row>
    <row r="83" spans="19:34" s="503" customFormat="1" hidden="1" outlineLevel="1">
      <c r="S83" s="807" t="s">
        <v>8</v>
      </c>
      <c r="T83" s="808"/>
      <c r="U83" s="809"/>
      <c r="W83" s="807" t="s">
        <v>9</v>
      </c>
      <c r="X83" s="808"/>
      <c r="Y83" s="809"/>
      <c r="AA83" s="105" t="s">
        <v>28</v>
      </c>
      <c r="AB83" s="107"/>
      <c r="AC83" s="106"/>
    </row>
    <row r="84" spans="19:34" s="503" customFormat="1" ht="15.75" hidden="1" customHeight="1" outlineLevel="1" thickBot="1">
      <c r="S84" s="25" t="s">
        <v>11</v>
      </c>
      <c r="T84" s="20" t="s">
        <v>10</v>
      </c>
      <c r="U84" s="21" t="s">
        <v>6</v>
      </c>
      <c r="W84" s="25" t="s">
        <v>11</v>
      </c>
      <c r="X84" s="20" t="s">
        <v>10</v>
      </c>
      <c r="Y84" s="21" t="s">
        <v>6</v>
      </c>
      <c r="AA84" s="25" t="s">
        <v>11</v>
      </c>
      <c r="AB84" s="20" t="s">
        <v>10</v>
      </c>
      <c r="AC84" s="21" t="s">
        <v>6</v>
      </c>
      <c r="AD84" s="814" t="s">
        <v>592</v>
      </c>
      <c r="AE84" s="815"/>
      <c r="AF84" s="815"/>
      <c r="AG84" s="815"/>
    </row>
    <row r="85" spans="19:34" s="503" customFormat="1" hidden="1" outlineLevel="1">
      <c r="S85" s="218" t="s">
        <v>875</v>
      </c>
      <c r="T85" s="219">
        <v>0.26400914009688037</v>
      </c>
      <c r="U85" s="220">
        <v>0.61594160249321572</v>
      </c>
      <c r="W85" s="218" t="s">
        <v>875</v>
      </c>
      <c r="X85" s="219">
        <f>T85*$AB85</f>
        <v>0.29371016835777941</v>
      </c>
      <c r="Y85" s="220">
        <f>U85*$AC85</f>
        <v>0.69293430280486767</v>
      </c>
      <c r="AA85" s="22">
        <v>5</v>
      </c>
      <c r="AB85" s="79">
        <f>1+($AB$102*$AB$103)*$AB$104</f>
        <v>1.1125</v>
      </c>
      <c r="AC85" s="80">
        <f>1+($AB$102*$AC$103)*$AB$104</f>
        <v>1.125</v>
      </c>
      <c r="AD85" s="814"/>
      <c r="AE85" s="815"/>
      <c r="AF85" s="815"/>
      <c r="AG85" s="815"/>
    </row>
    <row r="86" spans="19:34" s="503" customFormat="1" hidden="1" outlineLevel="1">
      <c r="S86" s="23" t="s">
        <v>876</v>
      </c>
      <c r="T86" s="81">
        <v>0.16720877498333173</v>
      </c>
      <c r="U86" s="82">
        <v>0.34304510120585624</v>
      </c>
      <c r="W86" s="23" t="s">
        <v>876</v>
      </c>
      <c r="X86" s="81">
        <f t="shared" ref="X86:X98" si="36">T86*$AB86</f>
        <v>0.18601976216895655</v>
      </c>
      <c r="Y86" s="82">
        <f t="shared" ref="Y86:Y98" si="37">U86*$AC86</f>
        <v>0.38592573885658826</v>
      </c>
      <c r="AA86" s="23">
        <v>15</v>
      </c>
      <c r="AB86" s="81">
        <f>1+($AB$102*$AB$103)*$AB$104</f>
        <v>1.1125</v>
      </c>
      <c r="AC86" s="82">
        <f>1+($AB$102*$AC$103)*$AB$104</f>
        <v>1.125</v>
      </c>
      <c r="AD86" s="814"/>
      <c r="AE86" s="815"/>
      <c r="AF86" s="815"/>
      <c r="AG86" s="815"/>
    </row>
    <row r="87" spans="19:34" s="503" customFormat="1" hidden="1" outlineLevel="1">
      <c r="S87" s="23" t="s">
        <v>877</v>
      </c>
      <c r="T87" s="81">
        <v>0.12739908075262904</v>
      </c>
      <c r="U87" s="82">
        <v>0.2609047051180175</v>
      </c>
      <c r="W87" s="23" t="s">
        <v>877</v>
      </c>
      <c r="X87" s="81">
        <f t="shared" si="36"/>
        <v>0.14173147733729982</v>
      </c>
      <c r="Y87" s="82">
        <f t="shared" si="37"/>
        <v>0.29351779325776967</v>
      </c>
      <c r="AA87" s="23">
        <v>25</v>
      </c>
      <c r="AB87" s="81">
        <f>1+($AB$102*$AB$103)*$AB$104</f>
        <v>1.1125</v>
      </c>
      <c r="AC87" s="82">
        <f>1+($AB$102*$AC$103)*$AB$104</f>
        <v>1.125</v>
      </c>
    </row>
    <row r="88" spans="19:34" s="503" customFormat="1" hidden="1" outlineLevel="1">
      <c r="S88" s="23" t="s">
        <v>878</v>
      </c>
      <c r="T88" s="81">
        <v>0.10346657798333291</v>
      </c>
      <c r="U88" s="82">
        <v>0.21920689638791566</v>
      </c>
      <c r="W88" s="23" t="s">
        <v>878</v>
      </c>
      <c r="X88" s="81">
        <f t="shared" si="36"/>
        <v>0.11510656800645787</v>
      </c>
      <c r="Y88" s="82">
        <f t="shared" si="37"/>
        <v>0.24660775843640512</v>
      </c>
      <c r="AA88" s="23">
        <v>35</v>
      </c>
      <c r="AB88" s="81">
        <f>1+($AB$102*$AB$103)*$AB$104</f>
        <v>1.1125</v>
      </c>
      <c r="AC88" s="82">
        <f>1+($AB$102*$AC$103)*$AB$104</f>
        <v>1.125</v>
      </c>
    </row>
    <row r="89" spans="19:34" s="503" customFormat="1" hidden="1" outlineLevel="1">
      <c r="S89" s="23" t="s">
        <v>879</v>
      </c>
      <c r="T89" s="81">
        <v>8.7650488681870142E-2</v>
      </c>
      <c r="U89" s="82">
        <v>0.19631735867348152</v>
      </c>
      <c r="W89" s="23" t="s">
        <v>879</v>
      </c>
      <c r="X89" s="81">
        <f t="shared" si="36"/>
        <v>9.7511168658580533E-2</v>
      </c>
      <c r="Y89" s="82">
        <f t="shared" si="37"/>
        <v>0.2208570285076667</v>
      </c>
      <c r="AA89" s="23">
        <v>45</v>
      </c>
      <c r="AB89" s="81">
        <f>1+($AB$102*$AB$103)*$AB$104</f>
        <v>1.1125</v>
      </c>
      <c r="AC89" s="82">
        <f>1+($AB$102*$AC$103)*$AB$104</f>
        <v>1.125</v>
      </c>
    </row>
    <row r="90" spans="19:34" s="503" customFormat="1" hidden="1" outlineLevel="1">
      <c r="S90" s="23" t="s">
        <v>880</v>
      </c>
      <c r="T90" s="81">
        <v>7.7088849874525425E-2</v>
      </c>
      <c r="U90" s="82">
        <v>0.18414085886746334</v>
      </c>
      <c r="W90" s="23" t="s">
        <v>880</v>
      </c>
      <c r="X90" s="81">
        <f t="shared" si="36"/>
        <v>8.7206761420556889E-2</v>
      </c>
      <c r="Y90" s="82">
        <f t="shared" si="37"/>
        <v>0.21099473411896841</v>
      </c>
      <c r="AA90" s="23">
        <v>55</v>
      </c>
      <c r="AB90" s="81">
        <f>$AB$89+($AB$95-$AB$89)/($AA$95-$AA$89)*((AA90-$AA$89))</f>
        <v>1.1312500000000001</v>
      </c>
      <c r="AC90" s="82">
        <f>$AC$89+($AC$95-$AC$89)/($AA$95-$AA$89)*((AA90-$AA$89))</f>
        <v>1.1458333333333333</v>
      </c>
    </row>
    <row r="91" spans="19:34" s="503" customFormat="1" hidden="1" outlineLevel="1">
      <c r="S91" s="23" t="s">
        <v>881</v>
      </c>
      <c r="T91" s="81">
        <v>7.0394126103341545E-2</v>
      </c>
      <c r="U91" s="82">
        <v>0.17843021537746723</v>
      </c>
      <c r="W91" s="23" t="s">
        <v>881</v>
      </c>
      <c r="X91" s="81">
        <f t="shared" si="36"/>
        <v>8.0953245018842782E-2</v>
      </c>
      <c r="Y91" s="82">
        <f t="shared" si="37"/>
        <v>0.2081685846070451</v>
      </c>
      <c r="AA91" s="23">
        <v>65</v>
      </c>
      <c r="AB91" s="81">
        <f>$AB$89+($AB$95-$AB$89)/($AA$95-$AA$89)*((AA91-$AA$89))</f>
        <v>1.1500000000000001</v>
      </c>
      <c r="AC91" s="82">
        <f>$AC$89+($AC$95-$AC$89)/($AA$95-$AA$89)*((AA91-$AA$89))</f>
        <v>1.1666666666666667</v>
      </c>
    </row>
    <row r="92" spans="19:34" s="503" customFormat="1" hidden="1" outlineLevel="1">
      <c r="S92" s="23" t="s">
        <v>882</v>
      </c>
      <c r="T92" s="81">
        <v>6.6778955230642451E-2</v>
      </c>
      <c r="U92" s="82">
        <v>0.17687373640190496</v>
      </c>
      <c r="W92" s="23" t="s">
        <v>882</v>
      </c>
      <c r="X92" s="81">
        <f t="shared" si="36"/>
        <v>7.8047903925813372E-2</v>
      </c>
      <c r="Y92" s="82">
        <f t="shared" si="37"/>
        <v>0.21003756197726214</v>
      </c>
      <c r="AA92" s="23">
        <v>75</v>
      </c>
      <c r="AB92" s="81">
        <f>$AB$89+($AB$95-$AB$89)/($AA$95-$AA$89)*((AA92-$AA$89))</f>
        <v>1.1687500000000002</v>
      </c>
      <c r="AC92" s="82">
        <f>$AC$89+($AC$95-$AC$89)/($AA$95-$AA$89)*((AA92-$AA$89))</f>
        <v>1.1875</v>
      </c>
    </row>
    <row r="93" spans="19:34" s="503" customFormat="1" hidden="1" outlineLevel="1">
      <c r="S93" s="23" t="s">
        <v>883</v>
      </c>
      <c r="T93" s="85">
        <v>6.5747674086994862E-2</v>
      </c>
      <c r="U93" s="83">
        <v>0.1786110300548317</v>
      </c>
      <c r="W93" s="23" t="s">
        <v>883</v>
      </c>
      <c r="X93" s="85">
        <f t="shared" si="36"/>
        <v>7.8075362978306403E-2</v>
      </c>
      <c r="Y93" s="83">
        <f t="shared" si="37"/>
        <v>0.21582166131625496</v>
      </c>
      <c r="AA93" s="84">
        <v>85</v>
      </c>
      <c r="AB93" s="81">
        <f>$AB$89+($AB$95-$AB$89)/($AA$95-$AA$89)*((AA93-$AA$89))</f>
        <v>1.1875</v>
      </c>
      <c r="AC93" s="82">
        <f>$AC$89+($AC$95-$AC$89)/($AA$95-$AA$89)*((AA93-$AA$89))</f>
        <v>1.2083333333333333</v>
      </c>
    </row>
    <row r="94" spans="19:34" s="503" customFormat="1" hidden="1" outlineLevel="1">
      <c r="S94" s="23" t="s">
        <v>884</v>
      </c>
      <c r="T94" s="85">
        <v>6.696429019663587E-2</v>
      </c>
      <c r="U94" s="83">
        <v>0.1852363782790602</v>
      </c>
      <c r="W94" s="23" t="s">
        <v>884</v>
      </c>
      <c r="X94" s="85">
        <f t="shared" si="36"/>
        <v>8.077567504969202E-2</v>
      </c>
      <c r="Y94" s="83">
        <f t="shared" si="37"/>
        <v>0.22768638163467816</v>
      </c>
      <c r="AA94" s="84">
        <v>95</v>
      </c>
      <c r="AB94" s="81">
        <f>$AB$89+($AB$95-$AB$89)/($AA$95-$AA$89)*((AA94-$AA$89))</f>
        <v>1.20625</v>
      </c>
      <c r="AC94" s="82">
        <f>$AC$89+($AC$95-$AC$89)/($AA$95-$AA$89)*((AA94-$AA$89))</f>
        <v>1.2291666666666667</v>
      </c>
    </row>
    <row r="95" spans="19:34" s="503" customFormat="1" hidden="1" outlineLevel="1">
      <c r="S95" s="23" t="s">
        <v>885</v>
      </c>
      <c r="T95" s="85">
        <v>7.0188056580033409E-2</v>
      </c>
      <c r="U95" s="83">
        <v>0.21322220085792618</v>
      </c>
      <c r="W95" s="23" t="s">
        <v>885</v>
      </c>
      <c r="X95" s="85">
        <f t="shared" si="36"/>
        <v>8.5980369310540927E-2</v>
      </c>
      <c r="Y95" s="83">
        <f t="shared" si="37"/>
        <v>0.26652775107240773</v>
      </c>
      <c r="AA95" s="84">
        <v>105</v>
      </c>
      <c r="AB95" s="85">
        <f>1+($AB$102*$AB$103)</f>
        <v>1.2250000000000001</v>
      </c>
      <c r="AC95" s="83">
        <f>1+($AB$102*$AC$103)</f>
        <v>1.25</v>
      </c>
    </row>
    <row r="96" spans="19:34" s="503" customFormat="1" hidden="1" outlineLevel="1">
      <c r="S96" s="23" t="s">
        <v>886</v>
      </c>
      <c r="T96" s="85">
        <v>7.5238875190980228E-2</v>
      </c>
      <c r="U96" s="83">
        <v>0.24120802343679215</v>
      </c>
      <c r="W96" s="23" t="s">
        <v>886</v>
      </c>
      <c r="X96" s="85">
        <f t="shared" si="36"/>
        <v>9.2167622108950784E-2</v>
      </c>
      <c r="Y96" s="83">
        <f t="shared" si="37"/>
        <v>0.30151002929599019</v>
      </c>
      <c r="AA96" s="84">
        <v>115</v>
      </c>
      <c r="AB96" s="85">
        <f>1+($AB$102*$AB$103)</f>
        <v>1.2250000000000001</v>
      </c>
      <c r="AC96" s="83">
        <f>1+($AB$102*$AC$103)</f>
        <v>1.25</v>
      </c>
    </row>
    <row r="97" spans="1:30" s="503" customFormat="1" hidden="1" outlineLevel="1">
      <c r="S97" s="23" t="s">
        <v>887</v>
      </c>
      <c r="T97" s="81">
        <v>8.1977303869154236E-2</v>
      </c>
      <c r="U97" s="83">
        <v>0.2691938460156581</v>
      </c>
      <c r="W97" s="23" t="s">
        <v>887</v>
      </c>
      <c r="X97" s="81">
        <f t="shared" si="36"/>
        <v>0.10042219723971395</v>
      </c>
      <c r="Y97" s="83">
        <f t="shared" si="37"/>
        <v>0.3364923075195726</v>
      </c>
      <c r="AA97" s="23">
        <v>125</v>
      </c>
      <c r="AB97" s="85">
        <f>1+($AB$102*$AB$103)</f>
        <v>1.2250000000000001</v>
      </c>
      <c r="AC97" s="83">
        <f>1+($AB$102*$AC$103)</f>
        <v>1.25</v>
      </c>
    </row>
    <row r="98" spans="1:30" s="503" customFormat="1" ht="15.75" hidden="1" outlineLevel="1" thickBot="1">
      <c r="S98" s="24" t="s">
        <v>888</v>
      </c>
      <c r="T98" s="221">
        <v>9.0292310210704496E-2</v>
      </c>
      <c r="U98" s="104">
        <v>0.29717966859452405</v>
      </c>
      <c r="W98" s="24" t="s">
        <v>888</v>
      </c>
      <c r="X98" s="221">
        <f t="shared" si="36"/>
        <v>0.11060808000811302</v>
      </c>
      <c r="Y98" s="104">
        <f t="shared" si="37"/>
        <v>0.37147458574315506</v>
      </c>
      <c r="AA98" s="24">
        <v>135</v>
      </c>
      <c r="AB98" s="108">
        <f>1+($AB$102*$AB$103)</f>
        <v>1.2250000000000001</v>
      </c>
      <c r="AC98" s="104">
        <f>1+($AB$102*$AC$103)</f>
        <v>1.25</v>
      </c>
    </row>
    <row r="99" spans="1:30" s="503" customFormat="1" hidden="1" outlineLevel="1">
      <c r="S99" s="35" t="s">
        <v>627</v>
      </c>
      <c r="AA99" s="189" t="s">
        <v>607</v>
      </c>
      <c r="AB99" s="214"/>
      <c r="AC99" s="214"/>
    </row>
    <row r="100" spans="1:30" s="503" customFormat="1" hidden="1" outlineLevel="1">
      <c r="S100" s="35" t="s">
        <v>628</v>
      </c>
      <c r="AA100" s="189"/>
    </row>
    <row r="101" spans="1:30" s="503" customFormat="1" hidden="1" outlineLevel="1">
      <c r="S101" s="35" t="s">
        <v>629</v>
      </c>
      <c r="AA101" s="189"/>
    </row>
    <row r="102" spans="1:30" s="503" customFormat="1" hidden="1" outlineLevel="1">
      <c r="AB102" s="87">
        <v>5</v>
      </c>
      <c r="AC102" s="179"/>
      <c r="AD102" s="14" t="s">
        <v>593</v>
      </c>
    </row>
    <row r="103" spans="1:30" s="503" customFormat="1" hidden="1" outlineLevel="1">
      <c r="AB103" s="109">
        <v>4.4999999999999998E-2</v>
      </c>
      <c r="AC103" s="109">
        <v>0.05</v>
      </c>
      <c r="AD103" s="14" t="s">
        <v>594</v>
      </c>
    </row>
    <row r="104" spans="1:30" s="503" customFormat="1" hidden="1" outlineLevel="1">
      <c r="AB104" s="109">
        <v>0.5</v>
      </c>
      <c r="AC104" s="179"/>
      <c r="AD104" s="14" t="s">
        <v>595</v>
      </c>
    </row>
    <row r="105" spans="1:30" s="503" customFormat="1" hidden="1" outlineLevel="1">
      <c r="A105" s="754" t="s">
        <v>597</v>
      </c>
      <c r="B105" s="754"/>
      <c r="C105" s="754"/>
      <c r="D105" s="754"/>
      <c r="E105" s="754"/>
      <c r="F105" s="754"/>
      <c r="G105" s="754"/>
      <c r="H105" s="754"/>
      <c r="I105" s="754"/>
      <c r="J105" s="754"/>
      <c r="K105" s="754"/>
      <c r="L105" s="754"/>
      <c r="M105" s="754"/>
      <c r="N105" s="754"/>
      <c r="O105" s="754"/>
      <c r="P105" s="754"/>
      <c r="Q105" s="754"/>
      <c r="R105" s="754"/>
      <c r="S105" s="754"/>
      <c r="T105" s="754"/>
      <c r="U105" s="754"/>
      <c r="V105" s="754"/>
      <c r="AD105" s="189" t="s">
        <v>596</v>
      </c>
    </row>
    <row r="106" spans="1:30" s="592" customFormat="1" hidden="1" outlineLevel="1">
      <c r="A106" s="754"/>
      <c r="B106" s="754"/>
      <c r="C106" s="754"/>
      <c r="D106" s="754"/>
      <c r="E106" s="754"/>
      <c r="F106" s="754"/>
      <c r="G106" s="754"/>
      <c r="H106" s="754"/>
      <c r="I106" s="754"/>
      <c r="J106" s="754"/>
      <c r="K106" s="754"/>
      <c r="L106" s="754"/>
      <c r="M106" s="754"/>
      <c r="N106" s="754"/>
      <c r="O106" s="754"/>
      <c r="P106" s="754"/>
      <c r="Q106" s="754"/>
      <c r="R106" s="754"/>
      <c r="S106" s="754"/>
      <c r="T106" s="754"/>
      <c r="U106" s="754"/>
      <c r="V106" s="754"/>
      <c r="AD106" s="189"/>
    </row>
    <row r="107" spans="1:30" s="503" customFormat="1" hidden="1" outlineLevel="1">
      <c r="A107" s="754" t="s">
        <v>598</v>
      </c>
      <c r="B107" s="754"/>
      <c r="C107" s="754"/>
      <c r="D107" s="754"/>
      <c r="E107" s="754"/>
      <c r="F107" s="754"/>
      <c r="G107" s="754"/>
      <c r="H107" s="754"/>
      <c r="I107" s="754"/>
      <c r="J107" s="754"/>
      <c r="K107" s="754"/>
      <c r="L107" s="754"/>
      <c r="M107" s="754"/>
      <c r="N107" s="754"/>
      <c r="O107" s="754"/>
      <c r="P107" s="754"/>
      <c r="Q107" s="754"/>
      <c r="R107" s="754"/>
      <c r="S107" s="754"/>
      <c r="T107" s="754"/>
      <c r="U107" s="754"/>
      <c r="V107" s="754"/>
    </row>
    <row r="108" spans="1:30" s="592" customFormat="1" hidden="1" outlineLevel="1">
      <c r="A108" s="754"/>
      <c r="B108" s="754"/>
      <c r="C108" s="754"/>
      <c r="D108" s="754"/>
      <c r="E108" s="754"/>
      <c r="F108" s="754"/>
      <c r="G108" s="754"/>
      <c r="H108" s="754"/>
      <c r="I108" s="754"/>
      <c r="J108" s="754"/>
      <c r="K108" s="754"/>
      <c r="L108" s="754"/>
      <c r="M108" s="754"/>
      <c r="N108" s="754"/>
      <c r="O108" s="754"/>
      <c r="P108" s="754"/>
      <c r="Q108" s="754"/>
      <c r="R108" s="754"/>
      <c r="S108" s="754"/>
      <c r="T108" s="754"/>
      <c r="U108" s="754"/>
      <c r="V108" s="754"/>
    </row>
    <row r="109" spans="1:30" s="527" customFormat="1" ht="15.75" hidden="1" outlineLevel="1" thickBot="1">
      <c r="A109" s="796" t="s">
        <v>592</v>
      </c>
      <c r="B109" s="796"/>
      <c r="C109" s="796"/>
      <c r="D109" s="796"/>
      <c r="E109" s="796"/>
      <c r="F109" s="796"/>
      <c r="G109" s="796"/>
      <c r="H109" s="796"/>
      <c r="I109" s="796"/>
      <c r="J109" s="796"/>
      <c r="K109" s="796"/>
      <c r="L109" s="796"/>
      <c r="M109" s="796"/>
      <c r="N109" s="796"/>
      <c r="O109" s="796"/>
      <c r="P109" s="796"/>
      <c r="Q109" s="796"/>
      <c r="R109" s="796"/>
      <c r="S109" s="796"/>
      <c r="T109" s="796"/>
      <c r="U109" s="796"/>
      <c r="V109" s="796"/>
    </row>
    <row r="110" spans="1:30" s="503" customFormat="1" hidden="1" outlineLevel="1">
      <c r="S110" s="105" t="s">
        <v>27</v>
      </c>
      <c r="T110" s="107"/>
      <c r="U110" s="106"/>
    </row>
    <row r="111" spans="1:30" s="503" customFormat="1" ht="15.75" hidden="1" outlineLevel="1" thickBot="1">
      <c r="S111" s="32" t="s">
        <v>26</v>
      </c>
      <c r="T111" s="33" t="s">
        <v>10</v>
      </c>
      <c r="U111" s="34" t="s">
        <v>6</v>
      </c>
    </row>
    <row r="112" spans="1:30" s="503" customFormat="1" hidden="1" outlineLevel="1">
      <c r="S112" s="26" t="s">
        <v>13</v>
      </c>
      <c r="T112" s="30">
        <v>1</v>
      </c>
      <c r="U112" s="31">
        <v>1</v>
      </c>
    </row>
    <row r="113" spans="1:28" s="503" customFormat="1" ht="15.75" hidden="1" outlineLevel="1" thickBot="1">
      <c r="S113" s="27" t="s">
        <v>12</v>
      </c>
      <c r="T113" s="28">
        <v>1.0316643084185093</v>
      </c>
      <c r="U113" s="29">
        <v>1.1996070463245994</v>
      </c>
    </row>
    <row r="114" spans="1:28" s="503" customFormat="1" hidden="1" outlineLevel="1">
      <c r="S114" s="35" t="s">
        <v>91</v>
      </c>
      <c r="T114" s="176"/>
      <c r="U114" s="176"/>
    </row>
    <row r="115" spans="1:28" s="503" customFormat="1" hidden="1" outlineLevel="1">
      <c r="S115" s="789" t="s">
        <v>599</v>
      </c>
      <c r="T115" s="789"/>
      <c r="U115" s="789"/>
      <c r="V115" s="789"/>
      <c r="W115" s="789"/>
      <c r="X115" s="789"/>
      <c r="Y115" s="789"/>
      <c r="Z115" s="789"/>
      <c r="AA115" s="789"/>
      <c r="AB115" s="789"/>
    </row>
    <row r="116" spans="1:28" s="592" customFormat="1" hidden="1" outlineLevel="1">
      <c r="S116" s="789"/>
      <c r="T116" s="789"/>
      <c r="U116" s="789"/>
      <c r="V116" s="789"/>
      <c r="W116" s="789"/>
      <c r="X116" s="789"/>
      <c r="Y116" s="789"/>
      <c r="Z116" s="789"/>
      <c r="AA116" s="789"/>
      <c r="AB116" s="789"/>
    </row>
    <row r="117" spans="1:28" s="592" customFormat="1" hidden="1" outlineLevel="1">
      <c r="S117" s="789"/>
      <c r="T117" s="789"/>
      <c r="U117" s="789"/>
      <c r="V117" s="789"/>
      <c r="W117" s="789"/>
      <c r="X117" s="789"/>
      <c r="Y117" s="789"/>
      <c r="Z117" s="789"/>
      <c r="AA117" s="789"/>
      <c r="AB117" s="789"/>
    </row>
    <row r="118" spans="1:28" s="503" customFormat="1" hidden="1" outlineLevel="1">
      <c r="A118" s="1" t="s">
        <v>299</v>
      </c>
    </row>
    <row r="119" spans="1:28" s="503" customFormat="1" hidden="1" outlineLevel="1">
      <c r="A119" s="503" t="s">
        <v>600</v>
      </c>
    </row>
    <row r="120" spans="1:28" s="503" customFormat="1" hidden="1" outlineLevel="1">
      <c r="A120" s="9" t="s">
        <v>72</v>
      </c>
      <c r="B120" s="9"/>
      <c r="C120" s="9"/>
      <c r="D120" s="9"/>
      <c r="E120" s="9"/>
      <c r="F120" s="9"/>
      <c r="G120" s="9"/>
      <c r="H120" s="9"/>
      <c r="I120" s="9"/>
      <c r="J120" s="9"/>
      <c r="K120" s="9"/>
      <c r="L120" s="9"/>
      <c r="M120" s="9"/>
      <c r="N120" s="9"/>
      <c r="O120" s="9"/>
      <c r="P120" s="504">
        <v>2019</v>
      </c>
      <c r="Q120" s="505">
        <v>43466</v>
      </c>
      <c r="R120" s="506">
        <v>43497</v>
      </c>
      <c r="S120" s="506">
        <v>43525</v>
      </c>
      <c r="T120" s="506">
        <v>43556</v>
      </c>
      <c r="U120" s="506">
        <v>43586</v>
      </c>
      <c r="V120" s="506">
        <v>43617</v>
      </c>
      <c r="W120" s="506">
        <v>43647</v>
      </c>
      <c r="X120" s="506">
        <v>43678</v>
      </c>
      <c r="Y120" s="506">
        <v>43709</v>
      </c>
      <c r="Z120" s="506">
        <v>43739</v>
      </c>
      <c r="AA120" s="506">
        <v>43770</v>
      </c>
      <c r="AB120" s="506">
        <v>43800</v>
      </c>
    </row>
    <row r="121" spans="1:28" s="503" customFormat="1" hidden="1" outlineLevel="1">
      <c r="A121" s="507" t="s">
        <v>602</v>
      </c>
      <c r="B121" s="182" t="s">
        <v>300</v>
      </c>
      <c r="C121" s="75"/>
      <c r="D121" s="75"/>
      <c r="E121" s="75"/>
      <c r="F121" s="75"/>
      <c r="G121" s="75"/>
      <c r="H121" s="75"/>
      <c r="I121" s="75"/>
      <c r="J121" s="75"/>
      <c r="K121" s="75"/>
      <c r="L121" s="75"/>
      <c r="M121" s="75"/>
      <c r="N121" s="75"/>
      <c r="O121" s="75"/>
      <c r="P121" s="99">
        <f>AVERAGE(Q121:AB121)</f>
        <v>4.9800000000000004</v>
      </c>
      <c r="Q121" s="508">
        <v>4.7300000000000004</v>
      </c>
      <c r="R121" s="509">
        <v>4.71</v>
      </c>
      <c r="S121" s="509">
        <v>4.79</v>
      </c>
      <c r="T121" s="509">
        <v>5.1100000000000003</v>
      </c>
      <c r="U121" s="509">
        <v>5.23</v>
      </c>
      <c r="V121" s="509">
        <v>5.21</v>
      </c>
      <c r="W121" s="509">
        <v>5.13</v>
      </c>
      <c r="X121" s="509">
        <v>5.08</v>
      </c>
      <c r="Y121" s="509">
        <v>4.99</v>
      </c>
      <c r="Z121" s="509">
        <v>4.92</v>
      </c>
      <c r="AA121" s="509">
        <v>4.91</v>
      </c>
      <c r="AB121" s="509">
        <v>4.95</v>
      </c>
    </row>
    <row r="122" spans="1:28" s="503" customFormat="1" hidden="1" outlineLevel="1">
      <c r="A122" s="507" t="s">
        <v>301</v>
      </c>
      <c r="B122" s="182" t="s">
        <v>300</v>
      </c>
      <c r="C122" s="75"/>
      <c r="D122" s="75"/>
      <c r="E122" s="75"/>
      <c r="F122" s="75"/>
      <c r="G122" s="75"/>
      <c r="H122" s="75"/>
      <c r="I122" s="75"/>
      <c r="J122" s="75"/>
      <c r="K122" s="75"/>
      <c r="L122" s="75"/>
      <c r="M122" s="75"/>
      <c r="N122" s="75"/>
      <c r="O122" s="75"/>
      <c r="P122" s="99">
        <f>AVERAGE(Q122:AB122)</f>
        <v>5.0600000000000014</v>
      </c>
      <c r="Q122" s="508">
        <v>5.04</v>
      </c>
      <c r="R122" s="509">
        <v>4.99</v>
      </c>
      <c r="S122" s="509">
        <v>5.08</v>
      </c>
      <c r="T122" s="509">
        <v>5.15</v>
      </c>
      <c r="U122" s="509">
        <v>5.2</v>
      </c>
      <c r="V122" s="509">
        <v>5.14</v>
      </c>
      <c r="W122" s="509">
        <v>5.07</v>
      </c>
      <c r="X122" s="509">
        <v>5.03</v>
      </c>
      <c r="Y122" s="509">
        <v>4.99</v>
      </c>
      <c r="Z122" s="509">
        <v>4.96</v>
      </c>
      <c r="AA122" s="509">
        <v>4.9800000000000004</v>
      </c>
      <c r="AB122" s="509">
        <v>5.09</v>
      </c>
    </row>
    <row r="123" spans="1:28" s="503" customFormat="1" hidden="1" outlineLevel="1">
      <c r="A123" s="35" t="s">
        <v>302</v>
      </c>
    </row>
    <row r="124" spans="1:28" s="503" customFormat="1" hidden="1" outlineLevel="1"/>
    <row r="125" spans="1:28" s="503" customFormat="1" hidden="1" outlineLevel="1">
      <c r="A125" s="503" t="s">
        <v>601</v>
      </c>
    </row>
    <row r="126" spans="1:28" s="503" customFormat="1" hidden="1" outlineLevel="1">
      <c r="A126" s="9" t="s">
        <v>72</v>
      </c>
      <c r="B126" s="183"/>
      <c r="C126" s="183"/>
      <c r="D126" s="183"/>
      <c r="E126" s="183"/>
      <c r="F126" s="183"/>
      <c r="G126" s="183"/>
      <c r="H126" s="183"/>
      <c r="I126" s="183"/>
      <c r="J126" s="183"/>
      <c r="K126" s="183"/>
      <c r="L126" s="183"/>
      <c r="M126" s="183"/>
      <c r="N126" s="183"/>
      <c r="O126" s="183"/>
      <c r="P126" s="183">
        <v>2019</v>
      </c>
    </row>
    <row r="127" spans="1:28" s="503" customFormat="1" hidden="1" outlineLevel="1">
      <c r="A127" s="507" t="str">
        <f>A121</f>
        <v>Benzyna Pb 95</v>
      </c>
      <c r="B127" s="510"/>
      <c r="C127" s="510"/>
      <c r="D127" s="510"/>
      <c r="E127" s="510"/>
      <c r="F127" s="510"/>
      <c r="G127" s="510"/>
      <c r="H127" s="510"/>
      <c r="I127" s="510"/>
      <c r="J127" s="510"/>
      <c r="K127" s="510"/>
      <c r="L127" s="510"/>
      <c r="M127" s="510"/>
      <c r="N127" s="510"/>
      <c r="O127" s="510"/>
      <c r="P127" s="511">
        <f>100%-43.2%</f>
        <v>0.56799999999999995</v>
      </c>
    </row>
    <row r="128" spans="1:28" s="503" customFormat="1" hidden="1" outlineLevel="1">
      <c r="A128" s="507" t="str">
        <f>A122</f>
        <v>Olej napędowy ON</v>
      </c>
      <c r="B128" s="510"/>
      <c r="C128" s="510"/>
      <c r="D128" s="510"/>
      <c r="E128" s="510"/>
      <c r="F128" s="510"/>
      <c r="G128" s="510"/>
      <c r="H128" s="510"/>
      <c r="I128" s="510"/>
      <c r="J128" s="510"/>
      <c r="K128" s="510"/>
      <c r="L128" s="510"/>
      <c r="M128" s="510"/>
      <c r="N128" s="510"/>
      <c r="O128" s="510"/>
      <c r="P128" s="511">
        <f>100%-48.9%</f>
        <v>0.51100000000000001</v>
      </c>
    </row>
    <row r="129" spans="1:22" s="503" customFormat="1" hidden="1" outlineLevel="1">
      <c r="A129" s="35" t="s">
        <v>603</v>
      </c>
    </row>
    <row r="130" spans="1:22" s="503" customFormat="1" ht="18" hidden="1" customHeight="1" outlineLevel="1">
      <c r="A130" s="789" t="s">
        <v>604</v>
      </c>
      <c r="B130" s="789"/>
      <c r="C130" s="789"/>
      <c r="D130" s="789"/>
      <c r="E130" s="789"/>
      <c r="F130" s="789"/>
      <c r="G130" s="789"/>
      <c r="H130" s="789"/>
      <c r="I130" s="789"/>
      <c r="J130" s="789"/>
      <c r="K130" s="789"/>
      <c r="L130" s="789"/>
      <c r="M130" s="789"/>
      <c r="N130" s="789"/>
      <c r="O130" s="789"/>
      <c r="P130" s="789"/>
      <c r="Q130" s="789"/>
      <c r="R130" s="789"/>
      <c r="S130" s="789"/>
      <c r="T130" s="789"/>
      <c r="U130" s="789"/>
      <c r="V130" s="789"/>
    </row>
    <row r="131" spans="1:22" s="592" customFormat="1" hidden="1" outlineLevel="1">
      <c r="A131" s="789"/>
      <c r="B131" s="789"/>
      <c r="C131" s="789"/>
      <c r="D131" s="789"/>
      <c r="E131" s="789"/>
      <c r="F131" s="789"/>
      <c r="G131" s="789"/>
      <c r="H131" s="789"/>
      <c r="I131" s="789"/>
      <c r="J131" s="789"/>
      <c r="K131" s="789"/>
      <c r="L131" s="789"/>
      <c r="M131" s="789"/>
      <c r="N131" s="789"/>
      <c r="O131" s="789"/>
      <c r="P131" s="789"/>
      <c r="Q131" s="789"/>
      <c r="R131" s="789"/>
      <c r="S131" s="789"/>
      <c r="T131" s="789"/>
      <c r="U131" s="789"/>
      <c r="V131" s="789"/>
    </row>
    <row r="132" spans="1:22" s="503" customFormat="1" hidden="1" outlineLevel="1">
      <c r="A132" s="35" t="s">
        <v>303</v>
      </c>
    </row>
    <row r="133" spans="1:22" s="503" customFormat="1" hidden="1" outlineLevel="1"/>
    <row r="134" spans="1:22" s="503" customFormat="1" hidden="1" outlineLevel="1">
      <c r="A134" s="754" t="s">
        <v>584</v>
      </c>
      <c r="B134" s="754"/>
      <c r="C134" s="754"/>
      <c r="D134" s="754"/>
      <c r="E134" s="754"/>
      <c r="F134" s="754"/>
      <c r="G134" s="754"/>
      <c r="H134" s="754"/>
      <c r="I134" s="754"/>
      <c r="J134" s="754"/>
      <c r="K134" s="754"/>
      <c r="L134" s="754"/>
      <c r="M134" s="754"/>
      <c r="N134" s="754"/>
      <c r="O134" s="754"/>
      <c r="P134" s="754"/>
      <c r="Q134" s="754"/>
      <c r="R134" s="754"/>
      <c r="S134" s="754"/>
      <c r="T134" s="754"/>
      <c r="U134" s="754"/>
      <c r="V134" s="754"/>
    </row>
    <row r="135" spans="1:22" s="592" customFormat="1" hidden="1" outlineLevel="1">
      <c r="A135" s="754"/>
      <c r="B135" s="754"/>
      <c r="C135" s="754"/>
      <c r="D135" s="754"/>
      <c r="E135" s="754"/>
      <c r="F135" s="754"/>
      <c r="G135" s="754"/>
      <c r="H135" s="754"/>
      <c r="I135" s="754"/>
      <c r="J135" s="754"/>
      <c r="K135" s="754"/>
      <c r="L135" s="754"/>
      <c r="M135" s="754"/>
      <c r="N135" s="754"/>
      <c r="O135" s="754"/>
      <c r="P135" s="754"/>
      <c r="Q135" s="754"/>
      <c r="R135" s="754"/>
      <c r="S135" s="754"/>
      <c r="T135" s="754"/>
      <c r="U135" s="754"/>
      <c r="V135" s="754"/>
    </row>
    <row r="136" spans="1:22" s="503" customFormat="1" hidden="1" outlineLevel="1">
      <c r="A136" s="184" t="s">
        <v>104</v>
      </c>
      <c r="B136" s="9"/>
      <c r="C136" s="9"/>
      <c r="D136" s="9"/>
      <c r="E136" s="9"/>
      <c r="F136" s="9"/>
      <c r="G136" s="9"/>
      <c r="H136" s="9"/>
      <c r="I136" s="9"/>
      <c r="J136" s="9"/>
      <c r="K136" s="9"/>
      <c r="L136" s="9"/>
      <c r="M136" s="9"/>
      <c r="N136" s="9"/>
      <c r="O136" s="9"/>
      <c r="P136" s="183">
        <v>2019</v>
      </c>
      <c r="Q136" s="183">
        <v>2030</v>
      </c>
      <c r="R136" s="183">
        <v>2050</v>
      </c>
    </row>
    <row r="137" spans="1:22" s="503" customFormat="1" hidden="1" outlineLevel="1">
      <c r="A137" s="512" t="s">
        <v>76</v>
      </c>
      <c r="B137" s="213"/>
      <c r="C137" s="213"/>
      <c r="D137" s="213"/>
      <c r="E137" s="213"/>
      <c r="F137" s="213"/>
      <c r="G137" s="213"/>
      <c r="H137" s="213"/>
      <c r="I137" s="213"/>
      <c r="J137" s="213"/>
      <c r="K137" s="213"/>
      <c r="L137" s="213"/>
      <c r="M137" s="213"/>
      <c r="N137" s="213"/>
      <c r="O137" s="213"/>
      <c r="P137" s="212">
        <f>S35/SUM(S35:S36)</f>
        <v>0.67903598504544949</v>
      </c>
      <c r="Q137" s="212">
        <f>T35/SUM(T35:T36)</f>
        <v>0.70281995661605201</v>
      </c>
      <c r="R137" s="212">
        <f>U35/SUM(U35:U36)</f>
        <v>0.74140508221225709</v>
      </c>
    </row>
    <row r="138" spans="1:22" s="503" customFormat="1" hidden="1" outlineLevel="1">
      <c r="A138" s="512" t="s">
        <v>73</v>
      </c>
      <c r="B138" s="213"/>
      <c r="C138" s="213"/>
      <c r="D138" s="213"/>
      <c r="E138" s="213"/>
      <c r="F138" s="213"/>
      <c r="G138" s="213"/>
      <c r="H138" s="213"/>
      <c r="I138" s="213"/>
      <c r="J138" s="213"/>
      <c r="K138" s="213"/>
      <c r="L138" s="213"/>
      <c r="M138" s="213"/>
      <c r="N138" s="213"/>
      <c r="O138" s="213"/>
      <c r="P138" s="212">
        <f>S36/SUM(S35:S36)</f>
        <v>0.32096401495455057</v>
      </c>
      <c r="Q138" s="212">
        <f>T36/SUM(T35:T36)</f>
        <v>0.29718004338394799</v>
      </c>
      <c r="R138" s="212">
        <f>U36/SUM(U35:U36)</f>
        <v>0.25859491778774285</v>
      </c>
    </row>
    <row r="139" spans="1:22" s="503" customFormat="1" hidden="1" outlineLevel="1">
      <c r="A139" s="184" t="s">
        <v>105</v>
      </c>
      <c r="B139" s="9"/>
      <c r="C139" s="9"/>
      <c r="D139" s="9"/>
      <c r="E139" s="9"/>
      <c r="F139" s="9"/>
      <c r="G139" s="9"/>
      <c r="H139" s="9"/>
      <c r="I139" s="9"/>
      <c r="J139" s="9"/>
      <c r="K139" s="9"/>
      <c r="L139" s="9"/>
      <c r="M139" s="9"/>
      <c r="N139" s="9"/>
      <c r="O139" s="9"/>
      <c r="P139" s="183">
        <v>2019</v>
      </c>
      <c r="Q139" s="183">
        <v>2030</v>
      </c>
      <c r="R139" s="183">
        <v>2050</v>
      </c>
    </row>
    <row r="140" spans="1:22" s="503" customFormat="1" hidden="1" outlineLevel="1">
      <c r="A140" s="512" t="s">
        <v>76</v>
      </c>
      <c r="B140" s="213"/>
      <c r="C140" s="213"/>
      <c r="D140" s="213"/>
      <c r="E140" s="213"/>
      <c r="F140" s="213"/>
      <c r="G140" s="213"/>
      <c r="H140" s="213"/>
      <c r="I140" s="213"/>
      <c r="J140" s="213"/>
      <c r="K140" s="213"/>
      <c r="L140" s="213"/>
      <c r="M140" s="213"/>
      <c r="N140" s="213"/>
      <c r="O140" s="213"/>
      <c r="P140" s="212">
        <f>Y35/SUM(Y35:Y36)</f>
        <v>0</v>
      </c>
      <c r="Q140" s="212">
        <f>Z35/SUM(Z35:Z36)</f>
        <v>0</v>
      </c>
      <c r="R140" s="212">
        <f>AA35/SUM(AA35:AA36)</f>
        <v>0</v>
      </c>
    </row>
    <row r="141" spans="1:22" s="503" customFormat="1" hidden="1" outlineLevel="1">
      <c r="A141" s="512" t="s">
        <v>73</v>
      </c>
      <c r="B141" s="213"/>
      <c r="C141" s="213"/>
      <c r="D141" s="213"/>
      <c r="E141" s="213"/>
      <c r="F141" s="213"/>
      <c r="G141" s="213"/>
      <c r="H141" s="213"/>
      <c r="I141" s="213"/>
      <c r="J141" s="213"/>
      <c r="K141" s="213"/>
      <c r="L141" s="213"/>
      <c r="M141" s="213"/>
      <c r="N141" s="213"/>
      <c r="O141" s="213"/>
      <c r="P141" s="212">
        <f>Y36/SUM(Y35:Y36)</f>
        <v>1</v>
      </c>
      <c r="Q141" s="212">
        <f>Z36/SUM(Z35:Z36)</f>
        <v>1</v>
      </c>
      <c r="R141" s="212">
        <f>AA36/SUM(AA35:AA36)</f>
        <v>1</v>
      </c>
    </row>
    <row r="142" spans="1:22" s="503" customFormat="1" hidden="1" outlineLevel="1"/>
    <row r="143" spans="1:22" s="503" customFormat="1" hidden="1" outlineLevel="1">
      <c r="A143" s="503" t="s">
        <v>605</v>
      </c>
    </row>
    <row r="144" spans="1:22" s="503" customFormat="1" hidden="1" outlineLevel="1">
      <c r="A144" s="9" t="s">
        <v>72</v>
      </c>
      <c r="B144" s="9"/>
      <c r="C144" s="9"/>
      <c r="D144" s="9"/>
      <c r="E144" s="9"/>
      <c r="F144" s="9"/>
      <c r="G144" s="9"/>
      <c r="H144" s="9"/>
      <c r="I144" s="9"/>
      <c r="J144" s="9"/>
      <c r="K144" s="9"/>
      <c r="L144" s="9"/>
      <c r="M144" s="9"/>
      <c r="N144" s="9"/>
      <c r="O144" s="9"/>
      <c r="P144" s="9"/>
      <c r="Q144" s="9"/>
      <c r="R144" s="9"/>
      <c r="S144" s="9"/>
      <c r="T144" s="183">
        <v>2019</v>
      </c>
    </row>
    <row r="145" spans="1:22" s="503" customFormat="1" hidden="1" outlineLevel="1">
      <c r="A145" s="507" t="str">
        <f>A121</f>
        <v>Benzyna Pb 95</v>
      </c>
      <c r="B145" s="182" t="s">
        <v>300</v>
      </c>
      <c r="C145" s="75"/>
      <c r="D145" s="75"/>
      <c r="E145" s="75"/>
      <c r="F145" s="75"/>
      <c r="G145" s="75"/>
      <c r="H145" s="75"/>
      <c r="I145" s="75"/>
      <c r="J145" s="75"/>
      <c r="K145" s="75"/>
      <c r="L145" s="75"/>
      <c r="M145" s="75"/>
      <c r="N145" s="75"/>
      <c r="O145" s="75"/>
      <c r="P145" s="75"/>
      <c r="Q145" s="75"/>
      <c r="R145" s="75"/>
      <c r="S145" s="75"/>
      <c r="T145" s="99">
        <f>P121*(100%-P127)</f>
        <v>2.1513600000000004</v>
      </c>
    </row>
    <row r="146" spans="1:22" s="503" customFormat="1" hidden="1" outlineLevel="1">
      <c r="A146" s="507" t="str">
        <f>A122</f>
        <v>Olej napędowy ON</v>
      </c>
      <c r="B146" s="182" t="s">
        <v>300</v>
      </c>
      <c r="C146" s="75"/>
      <c r="D146" s="75"/>
      <c r="E146" s="75"/>
      <c r="F146" s="75"/>
      <c r="G146" s="75"/>
      <c r="H146" s="75"/>
      <c r="I146" s="75"/>
      <c r="J146" s="75"/>
      <c r="K146" s="75"/>
      <c r="L146" s="75"/>
      <c r="M146" s="75"/>
      <c r="N146" s="75"/>
      <c r="O146" s="75"/>
      <c r="P146" s="75"/>
      <c r="Q146" s="75"/>
      <c r="R146" s="75"/>
      <c r="S146" s="75"/>
      <c r="T146" s="99">
        <f>P122*(100%-P128)</f>
        <v>2.4743400000000007</v>
      </c>
    </row>
    <row r="147" spans="1:22" s="503" customFormat="1" hidden="1" outlineLevel="1"/>
    <row r="148" spans="1:22" s="503" customFormat="1" hidden="1" outlineLevel="1">
      <c r="A148" s="503" t="s">
        <v>304</v>
      </c>
    </row>
    <row r="149" spans="1:22" s="503" customFormat="1" hidden="1" outlineLevel="1">
      <c r="A149" s="754" t="str">
        <f>$A$78</f>
        <v xml:space="preserve">Przyjęto uproszczenie, że udziały pojazdów spalinowych używających benzyny i oleju napędowego będą stałe w całym okresie projekcji. Według przeprowadzonych obliczeń, wpływ zmian prognozowanej struktury floty pojazdów spalinowych na zużycie paliwa [ltr/ poj-km] jest nieznaczny. </v>
      </c>
      <c r="B149" s="754"/>
      <c r="C149" s="754"/>
      <c r="D149" s="754"/>
      <c r="E149" s="754"/>
      <c r="F149" s="754"/>
      <c r="G149" s="754"/>
      <c r="H149" s="754"/>
      <c r="I149" s="754"/>
      <c r="J149" s="754"/>
      <c r="K149" s="754"/>
      <c r="L149" s="754"/>
      <c r="M149" s="754"/>
      <c r="N149" s="754"/>
      <c r="O149" s="754"/>
      <c r="P149" s="754"/>
      <c r="Q149" s="754"/>
      <c r="R149" s="754"/>
      <c r="S149" s="754"/>
      <c r="T149" s="754"/>
      <c r="U149" s="754"/>
      <c r="V149" s="754"/>
    </row>
    <row r="150" spans="1:22" s="592" customFormat="1" hidden="1" outlineLevel="1">
      <c r="A150" s="754"/>
      <c r="B150" s="754"/>
      <c r="C150" s="754"/>
      <c r="D150" s="754"/>
      <c r="E150" s="754"/>
      <c r="F150" s="754"/>
      <c r="G150" s="754"/>
      <c r="H150" s="754"/>
      <c r="I150" s="754"/>
      <c r="J150" s="754"/>
      <c r="K150" s="754"/>
      <c r="L150" s="754"/>
      <c r="M150" s="754"/>
      <c r="N150" s="754"/>
      <c r="O150" s="754"/>
      <c r="P150" s="754"/>
      <c r="Q150" s="754"/>
      <c r="R150" s="754"/>
      <c r="S150" s="754"/>
      <c r="T150" s="754"/>
      <c r="U150" s="754"/>
      <c r="V150" s="754"/>
    </row>
    <row r="151" spans="1:22" s="592" customFormat="1" hidden="1" outlineLevel="1">
      <c r="A151" s="754"/>
      <c r="B151" s="754"/>
      <c r="C151" s="754"/>
      <c r="D151" s="754"/>
      <c r="E151" s="754"/>
      <c r="F151" s="754"/>
      <c r="G151" s="754"/>
      <c r="H151" s="754"/>
      <c r="I151" s="754"/>
      <c r="J151" s="754"/>
      <c r="K151" s="754"/>
      <c r="L151" s="754"/>
      <c r="M151" s="754"/>
      <c r="N151" s="754"/>
      <c r="O151" s="754"/>
      <c r="P151" s="754"/>
      <c r="Q151" s="754"/>
      <c r="R151" s="754"/>
      <c r="S151" s="754"/>
      <c r="T151" s="754"/>
      <c r="U151" s="754"/>
      <c r="V151" s="754"/>
    </row>
    <row r="152" spans="1:22" s="503" customFormat="1" hidden="1" outlineLevel="1">
      <c r="A152" s="9"/>
      <c r="B152" s="9"/>
      <c r="C152" s="9"/>
      <c r="D152" s="9"/>
      <c r="E152" s="9"/>
      <c r="F152" s="9"/>
      <c r="G152" s="9"/>
      <c r="H152" s="9"/>
      <c r="I152" s="9"/>
      <c r="J152" s="9"/>
      <c r="K152" s="9"/>
      <c r="L152" s="9"/>
      <c r="M152" s="9"/>
      <c r="N152" s="9"/>
      <c r="O152" s="9"/>
      <c r="P152" s="2" t="s">
        <v>0</v>
      </c>
      <c r="Q152" s="183"/>
      <c r="R152" s="183"/>
      <c r="S152" s="183"/>
      <c r="T152" s="6">
        <v>2019</v>
      </c>
    </row>
    <row r="153" spans="1:22" s="503" customFormat="1" ht="30" hidden="1" outlineLevel="1">
      <c r="A153" s="8" t="s">
        <v>305</v>
      </c>
      <c r="B153" s="182" t="s">
        <v>300</v>
      </c>
      <c r="C153" s="75"/>
      <c r="D153" s="75"/>
      <c r="E153" s="75"/>
      <c r="F153" s="75"/>
      <c r="G153" s="75"/>
      <c r="H153" s="75"/>
      <c r="I153" s="75"/>
      <c r="J153" s="75"/>
      <c r="K153" s="75"/>
      <c r="L153" s="75"/>
      <c r="M153" s="75"/>
      <c r="N153" s="75"/>
      <c r="O153" s="75"/>
      <c r="P153" s="12"/>
      <c r="Q153" s="12"/>
      <c r="R153" s="12"/>
      <c r="S153" s="12"/>
      <c r="T153" s="99">
        <f>T$145*$P$137+T$146*$P$138</f>
        <v>2.2550249575500212</v>
      </c>
    </row>
    <row r="154" spans="1:22" s="503" customFormat="1" ht="30" hidden="1" outlineLevel="1">
      <c r="A154" s="8" t="s">
        <v>306</v>
      </c>
      <c r="B154" s="182" t="s">
        <v>300</v>
      </c>
      <c r="C154" s="75"/>
      <c r="D154" s="75"/>
      <c r="E154" s="75"/>
      <c r="F154" s="75"/>
      <c r="G154" s="75"/>
      <c r="H154" s="75"/>
      <c r="I154" s="75"/>
      <c r="J154" s="75"/>
      <c r="K154" s="75"/>
      <c r="L154" s="75"/>
      <c r="M154" s="75"/>
      <c r="N154" s="75"/>
      <c r="O154" s="75"/>
      <c r="P154" s="12"/>
      <c r="Q154" s="12"/>
      <c r="R154" s="12"/>
      <c r="S154" s="12"/>
      <c r="T154" s="99">
        <f>T$145*$P$140+T$146*$P$141</f>
        <v>2.4743400000000007</v>
      </c>
    </row>
    <row r="155" spans="1:22" s="503" customFormat="1" hidden="1" outlineLevel="1"/>
    <row r="156" spans="1:22" s="503" customFormat="1" hidden="1" outlineLevel="1">
      <c r="A156" s="1" t="s">
        <v>307</v>
      </c>
    </row>
    <row r="157" spans="1:22" s="503" customFormat="1" hidden="1" outlineLevel="1">
      <c r="A157" s="503" t="s">
        <v>606</v>
      </c>
    </row>
    <row r="158" spans="1:22" s="503" customFormat="1" hidden="1" outlineLevel="1">
      <c r="A158" s="9"/>
      <c r="B158" s="9"/>
      <c r="C158" s="9"/>
      <c r="D158" s="9"/>
      <c r="E158" s="9"/>
      <c r="F158" s="9"/>
      <c r="G158" s="9"/>
      <c r="H158" s="9"/>
      <c r="I158" s="9"/>
      <c r="J158" s="9"/>
      <c r="K158" s="9"/>
      <c r="L158" s="9"/>
      <c r="M158" s="9"/>
      <c r="N158" s="9"/>
      <c r="O158" s="9"/>
      <c r="P158" s="183"/>
      <c r="Q158" s="183"/>
      <c r="R158" s="183"/>
      <c r="S158" s="183"/>
      <c r="T158" s="183">
        <v>2019</v>
      </c>
    </row>
    <row r="159" spans="1:22" s="503" customFormat="1" ht="30" hidden="1" outlineLevel="1">
      <c r="A159" s="8" t="s">
        <v>104</v>
      </c>
      <c r="B159" s="186" t="s">
        <v>103</v>
      </c>
      <c r="C159" s="12"/>
      <c r="D159" s="12"/>
      <c r="E159" s="12"/>
      <c r="F159" s="12"/>
      <c r="G159" s="12"/>
      <c r="H159" s="12"/>
      <c r="I159" s="12"/>
      <c r="J159" s="12"/>
      <c r="K159" s="12"/>
      <c r="L159" s="12"/>
      <c r="M159" s="12"/>
      <c r="N159" s="12"/>
      <c r="O159" s="12"/>
      <c r="P159" s="12"/>
      <c r="Q159" s="12"/>
      <c r="R159" s="12"/>
      <c r="S159" s="12"/>
      <c r="T159" s="11">
        <v>0.81100964558971222</v>
      </c>
    </row>
    <row r="160" spans="1:22" s="503" customFormat="1" ht="30" hidden="1" outlineLevel="1">
      <c r="A160" s="8" t="s">
        <v>105</v>
      </c>
      <c r="B160" s="186" t="s">
        <v>103</v>
      </c>
      <c r="C160" s="12"/>
      <c r="D160" s="12"/>
      <c r="E160" s="12"/>
      <c r="F160" s="12"/>
      <c r="G160" s="12"/>
      <c r="H160" s="12"/>
      <c r="I160" s="12"/>
      <c r="J160" s="12"/>
      <c r="K160" s="12"/>
      <c r="L160" s="12"/>
      <c r="M160" s="12"/>
      <c r="N160" s="12"/>
      <c r="O160" s="12"/>
      <c r="P160" s="12"/>
      <c r="Q160" s="12"/>
      <c r="R160" s="12"/>
      <c r="S160" s="12"/>
      <c r="T160" s="11">
        <v>1.4541305064433745</v>
      </c>
    </row>
    <row r="161" spans="1:34" s="503" customFormat="1" hidden="1" outlineLevel="1">
      <c r="A161" s="35" t="s">
        <v>91</v>
      </c>
    </row>
    <row r="162" spans="1:34" s="503" customFormat="1" hidden="1" outlineLevel="1"/>
    <row r="163" spans="1:34" s="503" customFormat="1" collapsed="1"/>
    <row r="164" spans="1:34" s="503" customFormat="1">
      <c r="A164" s="1" t="s">
        <v>515</v>
      </c>
    </row>
    <row r="165" spans="1:34" s="503" customFormat="1">
      <c r="A165" s="754" t="str">
        <f>$A$78</f>
        <v xml:space="preserve">Przyjęto uproszczenie, że udziały pojazdów spalinowych używających benzyny i oleju napędowego będą stałe w całym okresie projekcji. Według przeprowadzonych obliczeń, wpływ zmian prognozowanej struktury floty pojazdów spalinowych na zużycie paliwa [ltr/ poj-km] jest nieznaczny. </v>
      </c>
      <c r="B165" s="754"/>
      <c r="C165" s="754"/>
      <c r="D165" s="754"/>
      <c r="E165" s="754"/>
      <c r="F165" s="754"/>
      <c r="G165" s="754"/>
      <c r="H165" s="754"/>
      <c r="I165" s="754"/>
      <c r="J165" s="754"/>
      <c r="K165" s="754"/>
      <c r="L165" s="754"/>
      <c r="M165" s="754"/>
      <c r="N165" s="754"/>
      <c r="O165" s="754"/>
      <c r="P165" s="754"/>
      <c r="Q165" s="754"/>
      <c r="R165" s="754"/>
      <c r="S165" s="754"/>
      <c r="T165" s="754"/>
      <c r="U165" s="754"/>
      <c r="V165" s="754"/>
    </row>
    <row r="166" spans="1:34" s="592" customFormat="1">
      <c r="A166" s="754"/>
      <c r="B166" s="754"/>
      <c r="C166" s="754"/>
      <c r="D166" s="754"/>
      <c r="E166" s="754"/>
      <c r="F166" s="754"/>
      <c r="G166" s="754"/>
      <c r="H166" s="754"/>
      <c r="I166" s="754"/>
      <c r="J166" s="754"/>
      <c r="K166" s="754"/>
      <c r="L166" s="754"/>
      <c r="M166" s="754"/>
      <c r="N166" s="754"/>
      <c r="O166" s="754"/>
      <c r="P166" s="754"/>
      <c r="Q166" s="754"/>
      <c r="R166" s="754"/>
      <c r="S166" s="754"/>
      <c r="T166" s="754"/>
      <c r="U166" s="754"/>
      <c r="V166" s="754"/>
    </row>
    <row r="167" spans="1:34" s="592" customFormat="1" ht="15.75" thickBot="1">
      <c r="A167" s="754"/>
      <c r="B167" s="754"/>
      <c r="C167" s="754"/>
      <c r="D167" s="754"/>
      <c r="E167" s="754"/>
      <c r="F167" s="754"/>
      <c r="G167" s="754"/>
      <c r="H167" s="754"/>
      <c r="I167" s="754"/>
      <c r="J167" s="754"/>
      <c r="K167" s="754"/>
      <c r="L167" s="754"/>
      <c r="M167" s="754"/>
      <c r="N167" s="754"/>
      <c r="O167" s="754"/>
      <c r="P167" s="754"/>
      <c r="Q167" s="754"/>
      <c r="R167" s="754"/>
      <c r="S167" s="754"/>
      <c r="T167" s="754"/>
      <c r="U167" s="754"/>
      <c r="V167" s="754"/>
    </row>
    <row r="168" spans="1:34" s="592" customFormat="1" ht="15" customHeight="1">
      <c r="A168" s="651"/>
      <c r="B168" s="651"/>
      <c r="C168" s="651"/>
      <c r="D168" s="651"/>
      <c r="E168" s="651"/>
      <c r="F168" s="651"/>
      <c r="G168" s="651"/>
      <c r="H168" s="651"/>
      <c r="I168" s="651"/>
      <c r="J168" s="651"/>
      <c r="K168" s="651"/>
      <c r="L168" s="651"/>
      <c r="M168" s="651"/>
      <c r="N168" s="651"/>
      <c r="O168" s="651"/>
      <c r="P168" s="651"/>
      <c r="Q168" s="651"/>
      <c r="R168" s="651"/>
      <c r="S168" s="797" t="s">
        <v>508</v>
      </c>
      <c r="T168" s="798"/>
      <c r="U168" s="799"/>
      <c r="V168" s="651"/>
      <c r="W168" s="797" t="s">
        <v>508</v>
      </c>
      <c r="X168" s="798"/>
      <c r="Y168" s="799"/>
    </row>
    <row r="169" spans="1:34" s="216" customFormat="1">
      <c r="A169"/>
      <c r="B169"/>
      <c r="C169"/>
      <c r="D169"/>
      <c r="E169"/>
      <c r="F169"/>
      <c r="G169"/>
      <c r="H169"/>
      <c r="I169"/>
      <c r="J169"/>
      <c r="K169"/>
      <c r="L169"/>
      <c r="M169"/>
      <c r="N169"/>
      <c r="O169"/>
      <c r="P169"/>
      <c r="Q169"/>
      <c r="R169"/>
      <c r="S169" s="800"/>
      <c r="T169" s="801"/>
      <c r="U169" s="802"/>
      <c r="W169" s="800"/>
      <c r="X169" s="801"/>
      <c r="Y169" s="802"/>
      <c r="AA169" s="810" t="str">
        <f>$AA$81</f>
        <v xml:space="preserve">Według opracowania źródłowego, poniższe mnożniki dotyczą wszystkich kategorii kosztów użytkowników dróg, oprócz kosztów czasu. </v>
      </c>
      <c r="AB169" s="810"/>
      <c r="AC169" s="810"/>
      <c r="AD169" s="810"/>
      <c r="AE169" s="810"/>
      <c r="AF169" s="810"/>
      <c r="AG169" s="810"/>
      <c r="AH169" s="810"/>
    </row>
    <row r="170" spans="1:34" s="216" customFormat="1" ht="15.75" thickBot="1">
      <c r="A170"/>
      <c r="B170"/>
      <c r="C170"/>
      <c r="D170"/>
      <c r="E170"/>
      <c r="F170"/>
      <c r="G170"/>
      <c r="H170"/>
      <c r="I170"/>
      <c r="J170"/>
      <c r="K170"/>
      <c r="L170"/>
      <c r="M170"/>
      <c r="N170"/>
      <c r="O170"/>
      <c r="P170"/>
      <c r="Q170"/>
      <c r="R170"/>
      <c r="S170" s="807" t="s">
        <v>7</v>
      </c>
      <c r="T170" s="808"/>
      <c r="U170" s="809"/>
      <c r="W170" s="807" t="s">
        <v>7</v>
      </c>
      <c r="X170" s="808"/>
      <c r="Y170" s="809"/>
      <c r="AA170" s="810"/>
      <c r="AB170" s="810"/>
      <c r="AC170" s="810"/>
      <c r="AD170" s="810"/>
      <c r="AE170" s="810"/>
      <c r="AF170" s="810"/>
      <c r="AG170" s="810"/>
      <c r="AH170" s="810"/>
    </row>
    <row r="171" spans="1:34" s="216" customFormat="1" ht="15" customHeight="1">
      <c r="A171"/>
      <c r="B171"/>
      <c r="C171"/>
      <c r="D171"/>
      <c r="E171"/>
      <c r="F171"/>
      <c r="G171"/>
      <c r="H171"/>
      <c r="I171"/>
      <c r="J171"/>
      <c r="K171"/>
      <c r="L171"/>
      <c r="M171"/>
      <c r="N171"/>
      <c r="O171"/>
      <c r="P171"/>
      <c r="Q171"/>
      <c r="R171"/>
      <c r="S171" s="807" t="s">
        <v>8</v>
      </c>
      <c r="T171" s="808"/>
      <c r="U171" s="809"/>
      <c r="W171" s="807" t="s">
        <v>9</v>
      </c>
      <c r="X171" s="808"/>
      <c r="Y171" s="809"/>
      <c r="AA171" s="105" t="s">
        <v>28</v>
      </c>
      <c r="AB171" s="107"/>
      <c r="AC171" s="106"/>
      <c r="AD171" s="179"/>
    </row>
    <row r="172" spans="1:34" s="216" customFormat="1" ht="15.75" customHeight="1" thickBot="1">
      <c r="A172"/>
      <c r="B172"/>
      <c r="C172"/>
      <c r="D172"/>
      <c r="E172"/>
      <c r="F172"/>
      <c r="G172"/>
      <c r="H172"/>
      <c r="I172"/>
      <c r="J172"/>
      <c r="K172"/>
      <c r="L172"/>
      <c r="M172"/>
      <c r="N172"/>
      <c r="O172"/>
      <c r="P172"/>
      <c r="Q172"/>
      <c r="R172"/>
      <c r="S172" s="25" t="s">
        <v>11</v>
      </c>
      <c r="T172" s="20" t="s">
        <v>10</v>
      </c>
      <c r="U172" s="21" t="s">
        <v>6</v>
      </c>
      <c r="W172" s="25" t="s">
        <v>11</v>
      </c>
      <c r="X172" s="20" t="s">
        <v>10</v>
      </c>
      <c r="Y172" s="21" t="s">
        <v>6</v>
      </c>
      <c r="AA172" s="25" t="s">
        <v>11</v>
      </c>
      <c r="AB172" s="20" t="s">
        <v>10</v>
      </c>
      <c r="AC172" s="21" t="s">
        <v>6</v>
      </c>
      <c r="AD172" s="814" t="str">
        <f>$AD$84</f>
        <v xml:space="preserve">Mnożniki te należy stosować do łącznych VOC (nie tylko do kosztów zużycia paliwa lub energii elektrycznej). </v>
      </c>
      <c r="AE172" s="815"/>
      <c r="AF172" s="815"/>
      <c r="AG172" s="815"/>
      <c r="AH172" s="528"/>
    </row>
    <row r="173" spans="1:34" s="216" customFormat="1">
      <c r="A173"/>
      <c r="B173"/>
      <c r="C173"/>
      <c r="D173"/>
      <c r="E173"/>
      <c r="F173"/>
      <c r="G173"/>
      <c r="H173"/>
      <c r="I173"/>
      <c r="J173"/>
      <c r="K173"/>
      <c r="L173"/>
      <c r="M173"/>
      <c r="N173"/>
      <c r="O173"/>
      <c r="P173"/>
      <c r="Q173"/>
      <c r="R173"/>
      <c r="S173" s="218" t="s">
        <v>875</v>
      </c>
      <c r="T173" s="219">
        <f t="shared" ref="T173:T186" si="38">($T$159+$T85*$T$153)</f>
        <v>1.4063568455294975</v>
      </c>
      <c r="U173" s="220">
        <f t="shared" ref="U173:U186" si="39">($T$160+$U85*$T$154)</f>
        <v>2.9781794511564383</v>
      </c>
      <c r="W173" s="218" t="s">
        <v>875</v>
      </c>
      <c r="X173" s="219">
        <f>T173*$AB173</f>
        <v>1.564571990651566</v>
      </c>
      <c r="Y173" s="220">
        <f>U173*$AC173</f>
        <v>3.3504518825509932</v>
      </c>
      <c r="AA173" s="22">
        <f t="shared" ref="AA173:AC186" si="40">AA85</f>
        <v>5</v>
      </c>
      <c r="AB173" s="79">
        <f t="shared" si="40"/>
        <v>1.1125</v>
      </c>
      <c r="AC173" s="80">
        <f t="shared" si="40"/>
        <v>1.125</v>
      </c>
      <c r="AD173" s="814"/>
      <c r="AE173" s="815"/>
      <c r="AF173" s="815"/>
      <c r="AG173" s="815"/>
      <c r="AH173" s="528"/>
    </row>
    <row r="174" spans="1:34" s="216" customFormat="1">
      <c r="A174"/>
      <c r="B174"/>
      <c r="C174"/>
      <c r="D174"/>
      <c r="E174"/>
      <c r="F174"/>
      <c r="G174"/>
      <c r="H174"/>
      <c r="I174"/>
      <c r="J174"/>
      <c r="K174"/>
      <c r="L174"/>
      <c r="M174"/>
      <c r="N174"/>
      <c r="O174"/>
      <c r="P174"/>
      <c r="Q174"/>
      <c r="R174"/>
      <c r="S174" s="23" t="s">
        <v>876</v>
      </c>
      <c r="T174" s="81">
        <f t="shared" si="38"/>
        <v>1.188069606298491</v>
      </c>
      <c r="U174" s="82">
        <f t="shared" si="39"/>
        <v>2.3029407221610732</v>
      </c>
      <c r="W174" s="23" t="s">
        <v>876</v>
      </c>
      <c r="X174" s="81">
        <f t="shared" ref="X174:X186" si="41">T174*$AB174</f>
        <v>1.3217274370070713</v>
      </c>
      <c r="Y174" s="82">
        <f t="shared" ref="Y174:Y186" si="42">U174*$AC174</f>
        <v>2.5908083124312071</v>
      </c>
      <c r="AA174" s="23">
        <f t="shared" si="40"/>
        <v>15</v>
      </c>
      <c r="AB174" s="81">
        <f t="shared" si="40"/>
        <v>1.1125</v>
      </c>
      <c r="AC174" s="82">
        <f t="shared" si="40"/>
        <v>1.125</v>
      </c>
      <c r="AD174" s="814"/>
      <c r="AE174" s="815"/>
      <c r="AF174" s="815"/>
      <c r="AG174" s="815"/>
      <c r="AH174" s="528"/>
    </row>
    <row r="175" spans="1:34" s="216" customFormat="1">
      <c r="A175"/>
      <c r="B175"/>
      <c r="C175"/>
      <c r="D175"/>
      <c r="E175"/>
      <c r="F175"/>
      <c r="G175"/>
      <c r="H175"/>
      <c r="I175"/>
      <c r="J175"/>
      <c r="K175"/>
      <c r="L175"/>
      <c r="M175"/>
      <c r="N175"/>
      <c r="O175"/>
      <c r="P175"/>
      <c r="Q175"/>
      <c r="R175"/>
      <c r="S175" s="23" t="s">
        <v>877</v>
      </c>
      <c r="T175" s="81">
        <f t="shared" si="38"/>
        <v>1.0982977522558213</v>
      </c>
      <c r="U175" s="82">
        <f t="shared" si="39"/>
        <v>2.0996974545050899</v>
      </c>
      <c r="W175" s="23" t="s">
        <v>877</v>
      </c>
      <c r="X175" s="81">
        <f t="shared" si="41"/>
        <v>1.2218562493846012</v>
      </c>
      <c r="Y175" s="82">
        <f t="shared" si="42"/>
        <v>2.3621596363182262</v>
      </c>
      <c r="AA175" s="23">
        <f t="shared" si="40"/>
        <v>25</v>
      </c>
      <c r="AB175" s="81">
        <f t="shared" si="40"/>
        <v>1.1125</v>
      </c>
      <c r="AC175" s="82">
        <f t="shared" si="40"/>
        <v>1.125</v>
      </c>
      <c r="AD175" s="179"/>
    </row>
    <row r="176" spans="1:34" s="216" customFormat="1">
      <c r="A176"/>
      <c r="B176"/>
      <c r="C176"/>
      <c r="D176"/>
      <c r="E176"/>
      <c r="F176"/>
      <c r="G176"/>
      <c r="H176"/>
      <c r="I176"/>
      <c r="J176"/>
      <c r="K176"/>
      <c r="L176"/>
      <c r="M176"/>
      <c r="N176"/>
      <c r="O176"/>
      <c r="P176"/>
      <c r="Q176"/>
      <c r="R176"/>
      <c r="S176" s="23" t="s">
        <v>878</v>
      </c>
      <c r="T176" s="81">
        <f t="shared" si="38"/>
        <v>1.0443293612144235</v>
      </c>
      <c r="U176" s="82">
        <f t="shared" si="39"/>
        <v>1.9965228984518499</v>
      </c>
      <c r="W176" s="23" t="s">
        <v>878</v>
      </c>
      <c r="X176" s="81">
        <f t="shared" si="41"/>
        <v>1.1618164143510463</v>
      </c>
      <c r="Y176" s="82">
        <f t="shared" si="42"/>
        <v>2.2460882607583312</v>
      </c>
      <c r="AA176" s="23">
        <f t="shared" si="40"/>
        <v>35</v>
      </c>
      <c r="AB176" s="81">
        <f t="shared" si="40"/>
        <v>1.1125</v>
      </c>
      <c r="AC176" s="82">
        <f t="shared" si="40"/>
        <v>1.125</v>
      </c>
      <c r="AD176" s="179"/>
    </row>
    <row r="177" spans="1:30" s="216" customFormat="1">
      <c r="A177"/>
      <c r="B177"/>
      <c r="C177"/>
      <c r="D177"/>
      <c r="E177"/>
      <c r="F177"/>
      <c r="G177"/>
      <c r="H177"/>
      <c r="I177"/>
      <c r="J177"/>
      <c r="K177"/>
      <c r="L177"/>
      <c r="M177"/>
      <c r="N177"/>
      <c r="O177"/>
      <c r="P177"/>
      <c r="Q177"/>
      <c r="R177"/>
      <c r="S177" s="23" t="s">
        <v>879</v>
      </c>
      <c r="T177" s="81">
        <f t="shared" si="38"/>
        <v>1.0086636851087851</v>
      </c>
      <c r="U177" s="82">
        <f t="shared" si="39"/>
        <v>1.939886399703517</v>
      </c>
      <c r="W177" s="23" t="s">
        <v>879</v>
      </c>
      <c r="X177" s="81">
        <f t="shared" si="41"/>
        <v>1.1221383496835236</v>
      </c>
      <c r="Y177" s="82">
        <f t="shared" si="42"/>
        <v>2.1823721996664567</v>
      </c>
      <c r="AA177" s="23">
        <f t="shared" si="40"/>
        <v>45</v>
      </c>
      <c r="AB177" s="81">
        <f t="shared" si="40"/>
        <v>1.1125</v>
      </c>
      <c r="AC177" s="82">
        <f t="shared" si="40"/>
        <v>1.125</v>
      </c>
      <c r="AD177" s="179"/>
    </row>
    <row r="178" spans="1:30" s="216" customFormat="1">
      <c r="A178"/>
      <c r="B178"/>
      <c r="C178"/>
      <c r="D178"/>
      <c r="E178"/>
      <c r="F178"/>
      <c r="G178"/>
      <c r="H178"/>
      <c r="I178"/>
      <c r="J178"/>
      <c r="K178"/>
      <c r="L178"/>
      <c r="M178"/>
      <c r="N178"/>
      <c r="O178"/>
      <c r="P178"/>
      <c r="Q178"/>
      <c r="R178"/>
      <c r="S178" s="23" t="s">
        <v>880</v>
      </c>
      <c r="T178" s="81">
        <f t="shared" si="38"/>
        <v>0.98484692600559387</v>
      </c>
      <c r="U178" s="82">
        <f t="shared" si="39"/>
        <v>1.9097575991734939</v>
      </c>
      <c r="W178" s="23" t="s">
        <v>880</v>
      </c>
      <c r="X178" s="81">
        <f t="shared" si="41"/>
        <v>1.1141080850438281</v>
      </c>
      <c r="Y178" s="82">
        <f t="shared" si="42"/>
        <v>2.1882639157196282</v>
      </c>
      <c r="AA178" s="23">
        <f t="shared" si="40"/>
        <v>55</v>
      </c>
      <c r="AB178" s="81">
        <f t="shared" si="40"/>
        <v>1.1312500000000001</v>
      </c>
      <c r="AC178" s="82">
        <f t="shared" si="40"/>
        <v>1.1458333333333333</v>
      </c>
      <c r="AD178" s="179"/>
    </row>
    <row r="179" spans="1:30" s="216" customFormat="1">
      <c r="A179"/>
      <c r="B179"/>
      <c r="C179"/>
      <c r="D179"/>
      <c r="E179"/>
      <c r="F179"/>
      <c r="G179"/>
      <c r="H179"/>
      <c r="I179"/>
      <c r="J179"/>
      <c r="K179"/>
      <c r="L179"/>
      <c r="M179"/>
      <c r="N179"/>
      <c r="O179"/>
      <c r="P179"/>
      <c r="Q179"/>
      <c r="R179"/>
      <c r="S179" s="23" t="s">
        <v>881</v>
      </c>
      <c r="T179" s="81">
        <f t="shared" si="38"/>
        <v>0.96975015681767085</v>
      </c>
      <c r="U179" s="82">
        <f t="shared" si="39"/>
        <v>1.8956275255604569</v>
      </c>
      <c r="W179" s="23" t="s">
        <v>881</v>
      </c>
      <c r="X179" s="81">
        <f t="shared" si="41"/>
        <v>1.1152126803403215</v>
      </c>
      <c r="Y179" s="82">
        <f t="shared" si="42"/>
        <v>2.2115654464871999</v>
      </c>
      <c r="AA179" s="23">
        <f t="shared" si="40"/>
        <v>65</v>
      </c>
      <c r="AB179" s="81">
        <f t="shared" si="40"/>
        <v>1.1500000000000001</v>
      </c>
      <c r="AC179" s="82">
        <f t="shared" si="40"/>
        <v>1.1666666666666667</v>
      </c>
      <c r="AD179" s="179"/>
    </row>
    <row r="180" spans="1:30" s="216" customFormat="1">
      <c r="A180"/>
      <c r="B180"/>
      <c r="C180"/>
      <c r="D180"/>
      <c r="E180"/>
      <c r="F180"/>
      <c r="G180"/>
      <c r="H180"/>
      <c r="I180"/>
      <c r="J180"/>
      <c r="K180"/>
      <c r="L180"/>
      <c r="M180"/>
      <c r="N180"/>
      <c r="O180"/>
      <c r="P180"/>
      <c r="Q180"/>
      <c r="R180"/>
      <c r="S180" s="23" t="s">
        <v>882</v>
      </c>
      <c r="T180" s="81">
        <f t="shared" si="38"/>
        <v>0.96159785627392647</v>
      </c>
      <c r="U180" s="82">
        <f t="shared" si="39"/>
        <v>1.8917762673720642</v>
      </c>
      <c r="W180" s="23" t="s">
        <v>882</v>
      </c>
      <c r="X180" s="81">
        <f t="shared" si="41"/>
        <v>1.1238674945201517</v>
      </c>
      <c r="Y180" s="82">
        <f t="shared" si="42"/>
        <v>2.2464843175043261</v>
      </c>
      <c r="AA180" s="23">
        <f t="shared" si="40"/>
        <v>75</v>
      </c>
      <c r="AB180" s="81">
        <f t="shared" si="40"/>
        <v>1.1687500000000002</v>
      </c>
      <c r="AC180" s="82">
        <f t="shared" si="40"/>
        <v>1.1875</v>
      </c>
      <c r="AD180" s="179"/>
    </row>
    <row r="181" spans="1:30" s="216" customFormat="1">
      <c r="A181"/>
      <c r="B181"/>
      <c r="C181"/>
      <c r="D181"/>
      <c r="E181"/>
      <c r="F181"/>
      <c r="G181"/>
      <c r="H181"/>
      <c r="I181"/>
      <c r="J181"/>
      <c r="K181"/>
      <c r="L181"/>
      <c r="M181"/>
      <c r="N181"/>
      <c r="O181"/>
      <c r="P181"/>
      <c r="Q181"/>
      <c r="R181"/>
      <c r="S181" s="23" t="s">
        <v>883</v>
      </c>
      <c r="T181" s="85">
        <f t="shared" si="38"/>
        <v>0.95927229155675042</v>
      </c>
      <c r="U181" s="83">
        <f t="shared" si="39"/>
        <v>1.8960749225492468</v>
      </c>
      <c r="W181" s="23" t="s">
        <v>883</v>
      </c>
      <c r="X181" s="85">
        <f t="shared" si="41"/>
        <v>1.1391358462236412</v>
      </c>
      <c r="Y181" s="83">
        <f t="shared" si="42"/>
        <v>2.2910905314136731</v>
      </c>
      <c r="AA181" s="84">
        <f t="shared" si="40"/>
        <v>85</v>
      </c>
      <c r="AB181" s="81">
        <f t="shared" si="40"/>
        <v>1.1875</v>
      </c>
      <c r="AC181" s="82">
        <f t="shared" si="40"/>
        <v>1.2083333333333333</v>
      </c>
      <c r="AD181" s="179"/>
    </row>
    <row r="182" spans="1:30" s="216" customFormat="1">
      <c r="A182"/>
      <c r="B182"/>
      <c r="C182"/>
      <c r="D182"/>
      <c r="E182"/>
      <c r="F182"/>
      <c r="G182"/>
      <c r="H182"/>
      <c r="I182"/>
      <c r="J182"/>
      <c r="K182"/>
      <c r="L182"/>
      <c r="M182"/>
      <c r="N182"/>
      <c r="O182"/>
      <c r="P182"/>
      <c r="Q182"/>
      <c r="R182"/>
      <c r="S182" s="23" t="s">
        <v>884</v>
      </c>
      <c r="T182" s="85">
        <f t="shared" si="38"/>
        <v>0.96201579124774828</v>
      </c>
      <c r="U182" s="83">
        <f t="shared" si="39"/>
        <v>1.9124682866743843</v>
      </c>
      <c r="W182" s="23" t="s">
        <v>884</v>
      </c>
      <c r="X182" s="85">
        <f t="shared" si="41"/>
        <v>1.1604315481925964</v>
      </c>
      <c r="Y182" s="83">
        <f t="shared" si="42"/>
        <v>2.3507422690372644</v>
      </c>
      <c r="AA182" s="84">
        <f t="shared" si="40"/>
        <v>95</v>
      </c>
      <c r="AB182" s="81">
        <f t="shared" si="40"/>
        <v>1.20625</v>
      </c>
      <c r="AC182" s="82">
        <f t="shared" si="40"/>
        <v>1.2291666666666667</v>
      </c>
      <c r="AD182" s="179"/>
    </row>
    <row r="183" spans="1:30" s="216" customFormat="1">
      <c r="A183"/>
      <c r="B183"/>
      <c r="C183"/>
      <c r="D183"/>
      <c r="E183"/>
      <c r="F183"/>
      <c r="G183"/>
      <c r="H183"/>
      <c r="I183"/>
      <c r="J183"/>
      <c r="K183"/>
      <c r="L183"/>
      <c r="M183"/>
      <c r="N183"/>
      <c r="O183"/>
      <c r="P183"/>
      <c r="Q183"/>
      <c r="R183"/>
      <c r="S183" s="23" t="s">
        <v>885</v>
      </c>
      <c r="T183" s="85">
        <f t="shared" si="38"/>
        <v>0.96928546489962053</v>
      </c>
      <c r="U183" s="83">
        <f t="shared" si="39"/>
        <v>1.9817147269141757</v>
      </c>
      <c r="W183" s="23" t="s">
        <v>885</v>
      </c>
      <c r="X183" s="85">
        <f t="shared" si="41"/>
        <v>1.1873746945020351</v>
      </c>
      <c r="Y183" s="83">
        <f t="shared" si="42"/>
        <v>2.4771434086427195</v>
      </c>
      <c r="AA183" s="84">
        <f t="shared" si="40"/>
        <v>105</v>
      </c>
      <c r="AB183" s="85">
        <f t="shared" si="40"/>
        <v>1.2250000000000001</v>
      </c>
      <c r="AC183" s="83">
        <f t="shared" si="40"/>
        <v>1.25</v>
      </c>
      <c r="AD183" s="179"/>
    </row>
    <row r="184" spans="1:30" s="216" customFormat="1">
      <c r="A184"/>
      <c r="B184"/>
      <c r="C184"/>
      <c r="D184"/>
      <c r="E184"/>
      <c r="F184"/>
      <c r="G184"/>
      <c r="H184"/>
      <c r="I184"/>
      <c r="J184"/>
      <c r="K184"/>
      <c r="L184"/>
      <c r="M184"/>
      <c r="N184"/>
      <c r="O184"/>
      <c r="P184"/>
      <c r="Q184"/>
      <c r="R184"/>
      <c r="S184" s="23" t="s">
        <v>886</v>
      </c>
      <c r="T184" s="85">
        <f t="shared" si="38"/>
        <v>0.98067518692336375</v>
      </c>
      <c r="U184" s="83">
        <f t="shared" si="39"/>
        <v>2.0509611671539671</v>
      </c>
      <c r="W184" s="23" t="s">
        <v>886</v>
      </c>
      <c r="X184" s="85">
        <f t="shared" si="41"/>
        <v>1.2013271039811206</v>
      </c>
      <c r="Y184" s="83">
        <f t="shared" si="42"/>
        <v>2.5637014589424592</v>
      </c>
      <c r="AA184" s="84">
        <f t="shared" si="40"/>
        <v>115</v>
      </c>
      <c r="AB184" s="85">
        <f t="shared" si="40"/>
        <v>1.2250000000000001</v>
      </c>
      <c r="AC184" s="83">
        <f t="shared" si="40"/>
        <v>1.25</v>
      </c>
      <c r="AD184" s="179"/>
    </row>
    <row r="185" spans="1:30" s="216" customFormat="1">
      <c r="A185"/>
      <c r="B185"/>
      <c r="C185"/>
      <c r="D185"/>
      <c r="E185"/>
      <c r="F185"/>
      <c r="G185"/>
      <c r="H185"/>
      <c r="I185"/>
      <c r="J185"/>
      <c r="K185"/>
      <c r="L185"/>
      <c r="M185"/>
      <c r="N185"/>
      <c r="O185"/>
      <c r="P185"/>
      <c r="Q185"/>
      <c r="R185"/>
      <c r="S185" s="23" t="s">
        <v>887</v>
      </c>
      <c r="T185" s="81">
        <f t="shared" si="38"/>
        <v>0.995870511767317</v>
      </c>
      <c r="U185" s="83">
        <f t="shared" si="39"/>
        <v>2.1202076073937581</v>
      </c>
      <c r="W185" s="23" t="s">
        <v>887</v>
      </c>
      <c r="X185" s="81">
        <f t="shared" si="41"/>
        <v>1.2199413769149634</v>
      </c>
      <c r="Y185" s="83">
        <f t="shared" si="42"/>
        <v>2.6502595092421979</v>
      </c>
      <c r="AA185" s="23">
        <f t="shared" si="40"/>
        <v>125</v>
      </c>
      <c r="AB185" s="85">
        <f t="shared" si="40"/>
        <v>1.2250000000000001</v>
      </c>
      <c r="AC185" s="83">
        <f t="shared" si="40"/>
        <v>1.25</v>
      </c>
      <c r="AD185" s="179"/>
    </row>
    <row r="186" spans="1:30" s="216" customFormat="1" ht="15.75" thickBot="1">
      <c r="A186"/>
      <c r="B186"/>
      <c r="C186"/>
      <c r="D186"/>
      <c r="E186"/>
      <c r="F186"/>
      <c r="G186"/>
      <c r="H186"/>
      <c r="I186"/>
      <c r="J186"/>
      <c r="K186"/>
      <c r="L186"/>
      <c r="M186"/>
      <c r="N186"/>
      <c r="O186"/>
      <c r="P186"/>
      <c r="Q186"/>
      <c r="R186"/>
      <c r="S186" s="24" t="s">
        <v>888</v>
      </c>
      <c r="T186" s="221">
        <f t="shared" si="38"/>
        <v>1.0146210585896995</v>
      </c>
      <c r="U186" s="104">
        <f t="shared" si="39"/>
        <v>2.1894540476335491</v>
      </c>
      <c r="W186" s="24" t="s">
        <v>888</v>
      </c>
      <c r="X186" s="221">
        <f t="shared" si="41"/>
        <v>1.242910796772382</v>
      </c>
      <c r="Y186" s="104">
        <f t="shared" si="42"/>
        <v>2.7368175595419366</v>
      </c>
      <c r="AA186" s="24">
        <f t="shared" si="40"/>
        <v>135</v>
      </c>
      <c r="AB186" s="108">
        <f t="shared" si="40"/>
        <v>1.2250000000000001</v>
      </c>
      <c r="AC186" s="104">
        <f t="shared" si="40"/>
        <v>1.25</v>
      </c>
      <c r="AD186" s="179"/>
    </row>
    <row r="187" spans="1:30" s="216" customFormat="1">
      <c r="A187"/>
      <c r="B187"/>
      <c r="C187"/>
      <c r="D187"/>
      <c r="E187"/>
      <c r="F187"/>
      <c r="G187"/>
      <c r="H187"/>
      <c r="I187"/>
      <c r="J187"/>
      <c r="K187"/>
      <c r="L187"/>
      <c r="M187"/>
      <c r="N187"/>
      <c r="O187"/>
      <c r="P187"/>
      <c r="Q187"/>
      <c r="R187"/>
      <c r="S187" s="35" t="s">
        <v>91</v>
      </c>
      <c r="AA187" s="189" t="str">
        <f>$AA$99</f>
        <v>Źródło: Obliczenia własne na podstawie "Optimisation of Maintenance", OECD/ITF 2012, str. 12</v>
      </c>
      <c r="AB187" s="503"/>
      <c r="AC187" s="503"/>
      <c r="AD187" s="214"/>
    </row>
    <row r="188" spans="1:30" s="216" customFormat="1">
      <c r="A188"/>
      <c r="B188"/>
      <c r="C188"/>
      <c r="D188"/>
      <c r="E188"/>
      <c r="F188"/>
      <c r="G188"/>
      <c r="H188"/>
      <c r="I188"/>
      <c r="J188"/>
      <c r="K188"/>
      <c r="L188"/>
      <c r="M188"/>
      <c r="N188"/>
      <c r="O188"/>
      <c r="P188"/>
      <c r="Q188"/>
      <c r="R188"/>
      <c r="S188" s="329" t="s">
        <v>157</v>
      </c>
      <c r="AA188" s="214"/>
    </row>
    <row r="189" spans="1:30" s="216" customFormat="1">
      <c r="A189"/>
      <c r="B189"/>
      <c r="C189"/>
      <c r="D189"/>
      <c r="E189"/>
      <c r="F189"/>
      <c r="G189"/>
      <c r="H189"/>
      <c r="I189"/>
      <c r="J189"/>
      <c r="K189"/>
      <c r="L189"/>
      <c r="M189"/>
      <c r="N189"/>
      <c r="O189"/>
      <c r="P189"/>
      <c r="Q189"/>
      <c r="R189"/>
      <c r="S189" s="330" t="s">
        <v>608</v>
      </c>
      <c r="AA189" s="214"/>
    </row>
    <row r="190" spans="1:30" s="216" customFormat="1">
      <c r="A190"/>
      <c r="B190"/>
      <c r="C190"/>
      <c r="D190"/>
      <c r="E190"/>
      <c r="F190"/>
      <c r="G190"/>
      <c r="H190"/>
      <c r="I190"/>
      <c r="J190"/>
      <c r="K190"/>
      <c r="L190"/>
      <c r="M190"/>
      <c r="N190"/>
      <c r="O190"/>
      <c r="P190"/>
      <c r="Q190"/>
      <c r="R190"/>
      <c r="S190" s="330" t="s">
        <v>609</v>
      </c>
      <c r="T190"/>
      <c r="U190"/>
      <c r="V190"/>
      <c r="W190"/>
      <c r="X190"/>
      <c r="Y190"/>
      <c r="Z190"/>
      <c r="AA190"/>
    </row>
    <row r="191" spans="1:30" s="592" customFormat="1">
      <c r="S191" s="795" t="s">
        <v>610</v>
      </c>
      <c r="T191" s="795"/>
      <c r="U191" s="795"/>
      <c r="V191" s="795"/>
      <c r="W191" s="795"/>
      <c r="X191" s="795"/>
      <c r="Y191" s="795"/>
      <c r="Z191" s="795"/>
    </row>
    <row r="192" spans="1:30" s="592" customFormat="1">
      <c r="S192" s="795"/>
      <c r="T192" s="795"/>
      <c r="U192" s="795"/>
      <c r="V192" s="795"/>
      <c r="W192" s="795"/>
      <c r="X192" s="795"/>
      <c r="Y192" s="795"/>
      <c r="Z192" s="795"/>
    </row>
    <row r="193" spans="1:28" s="316" customFormat="1" ht="15" customHeight="1"/>
    <row r="194" spans="1:28" s="316" customFormat="1" ht="15" customHeight="1"/>
    <row r="195" spans="1:28" s="316" customFormat="1" ht="15" customHeight="1"/>
    <row r="196" spans="1:28" s="316" customFormat="1" ht="15" customHeight="1"/>
    <row r="197" spans="1:28" s="316" customFormat="1" ht="15" customHeight="1"/>
    <row r="198" spans="1:28">
      <c r="A198" s="754" t="str">
        <f>$A$105</f>
        <v xml:space="preserve">Dodatkowo, dla dróg w terenie falistym (tzn. jeśli nachylenie podłużne drogi wynosi pomiędzy 2% i 6%), należy przemnożyć wartości dla terenu płaskiego przez poniższe współczynniki. </v>
      </c>
      <c r="B198" s="754"/>
      <c r="C198" s="754"/>
      <c r="D198" s="754"/>
      <c r="E198" s="754"/>
      <c r="F198" s="754"/>
      <c r="G198" s="754"/>
      <c r="H198" s="754"/>
      <c r="I198" s="754"/>
      <c r="J198" s="754"/>
      <c r="K198" s="754"/>
      <c r="L198" s="754"/>
      <c r="M198" s="754"/>
      <c r="N198" s="754"/>
      <c r="O198" s="754"/>
      <c r="P198" s="754"/>
      <c r="Q198" s="754"/>
      <c r="R198" s="754"/>
      <c r="S198" s="754"/>
      <c r="T198" s="754"/>
      <c r="U198" s="754"/>
      <c r="V198" s="754"/>
    </row>
    <row r="199" spans="1:28" s="592" customFormat="1">
      <c r="A199" s="754"/>
      <c r="B199" s="754"/>
      <c r="C199" s="754"/>
      <c r="D199" s="754"/>
      <c r="E199" s="754"/>
      <c r="F199" s="754"/>
      <c r="G199" s="754"/>
      <c r="H199" s="754"/>
      <c r="I199" s="754"/>
      <c r="J199" s="754"/>
      <c r="K199" s="754"/>
      <c r="L199" s="754"/>
      <c r="M199" s="754"/>
      <c r="N199" s="754"/>
      <c r="O199" s="754"/>
      <c r="P199" s="754"/>
      <c r="Q199" s="754"/>
      <c r="R199" s="754"/>
      <c r="S199" s="754"/>
      <c r="T199" s="754"/>
      <c r="U199" s="754"/>
      <c r="V199" s="754"/>
    </row>
    <row r="200" spans="1:28">
      <c r="A200" s="754" t="str">
        <f>$A$107</f>
        <v xml:space="preserve">Pominięto współczynniki dla dróg w terenie górskim, tj. o nachyleniu podłużnym powyżej 6%, ponieważ nie mają one istotnego znaczenia dla oceny przez CUPT projektów transportowych realizowanych w Polsce. </v>
      </c>
      <c r="B200" s="754"/>
      <c r="C200" s="754"/>
      <c r="D200" s="754"/>
      <c r="E200" s="754"/>
      <c r="F200" s="754"/>
      <c r="G200" s="754"/>
      <c r="H200" s="754"/>
      <c r="I200" s="754"/>
      <c r="J200" s="754"/>
      <c r="K200" s="754"/>
      <c r="L200" s="754"/>
      <c r="M200" s="754"/>
      <c r="N200" s="754"/>
      <c r="O200" s="754"/>
      <c r="P200" s="754"/>
      <c r="Q200" s="754"/>
      <c r="R200" s="754"/>
      <c r="S200" s="754"/>
      <c r="T200" s="754"/>
      <c r="U200" s="754"/>
      <c r="V200" s="754"/>
    </row>
    <row r="201" spans="1:28" s="592" customFormat="1">
      <c r="A201" s="754"/>
      <c r="B201" s="754"/>
      <c r="C201" s="754"/>
      <c r="D201" s="754"/>
      <c r="E201" s="754"/>
      <c r="F201" s="754"/>
      <c r="G201" s="754"/>
      <c r="H201" s="754"/>
      <c r="I201" s="754"/>
      <c r="J201" s="754"/>
      <c r="K201" s="754"/>
      <c r="L201" s="754"/>
      <c r="M201" s="754"/>
      <c r="N201" s="754"/>
      <c r="O201" s="754"/>
      <c r="P201" s="754"/>
      <c r="Q201" s="754"/>
      <c r="R201" s="754"/>
      <c r="S201" s="754"/>
      <c r="T201" s="754"/>
      <c r="U201" s="754"/>
      <c r="V201" s="754"/>
    </row>
    <row r="202" spans="1:28" s="527" customFormat="1" ht="15.75" thickBot="1">
      <c r="A202" s="527" t="str">
        <f>$A$109</f>
        <v xml:space="preserve">Mnożniki te należy stosować do łącznych VOC (nie tylko do kosztów zużycia paliwa lub energii elektrycznej). </v>
      </c>
    </row>
    <row r="203" spans="1:28" ht="15" customHeight="1">
      <c r="S203" s="105" t="str">
        <f>$S$110</f>
        <v>Mnożniki nachylenia podłużnego drogi</v>
      </c>
      <c r="T203" s="107"/>
      <c r="U203" s="106"/>
      <c r="V203" s="525"/>
    </row>
    <row r="204" spans="1:28" ht="15.75" thickBot="1">
      <c r="S204" s="32" t="s">
        <v>26</v>
      </c>
      <c r="T204" s="33" t="s">
        <v>10</v>
      </c>
      <c r="U204" s="34" t="s">
        <v>6</v>
      </c>
      <c r="V204" s="526"/>
    </row>
    <row r="205" spans="1:28">
      <c r="S205" s="26" t="s">
        <v>13</v>
      </c>
      <c r="T205" s="30">
        <f>$T$112</f>
        <v>1</v>
      </c>
      <c r="U205" s="31">
        <f>U112</f>
        <v>1</v>
      </c>
    </row>
    <row r="206" spans="1:28" ht="15.75" thickBot="1">
      <c r="S206" s="27" t="s">
        <v>12</v>
      </c>
      <c r="T206" s="28">
        <f>$T$113</f>
        <v>1.0316643084185093</v>
      </c>
      <c r="U206" s="29">
        <f>$U$113</f>
        <v>1.1996070463245994</v>
      </c>
    </row>
    <row r="207" spans="1:28">
      <c r="S207" s="35" t="str">
        <f>$S$114</f>
        <v>Źródło: Obliczenia własne</v>
      </c>
      <c r="T207" s="176"/>
      <c r="U207" s="176"/>
    </row>
    <row r="208" spans="1:28" s="536" customFormat="1">
      <c r="S208" s="789" t="str">
        <f>$S$115</f>
        <v xml:space="preserve">W obliczeniach mnożników nachylenia podłużnego drogi uwzględniono, że teren falisty zwiększa zużycie paliwa lub energii w pojazdach lekkich o 15% oraz uwzględniono, że łączny VOC oprócz kosztu zużycia paliwa lub energii obejmuje również koszt posiadania samochodu. 
W przypadku HGV przyjęto dodatkowe założenia dotyczące funkcji zużycia paliwa. </v>
      </c>
      <c r="T208" s="789"/>
      <c r="U208" s="789"/>
      <c r="V208" s="789"/>
      <c r="W208" s="789"/>
      <c r="X208" s="789"/>
      <c r="Y208" s="789"/>
      <c r="Z208" s="789"/>
      <c r="AA208" s="789"/>
      <c r="AB208" s="789"/>
    </row>
    <row r="209" spans="1:61" s="592" customFormat="1">
      <c r="S209" s="789"/>
      <c r="T209" s="789"/>
      <c r="U209" s="789"/>
      <c r="V209" s="789"/>
      <c r="W209" s="789"/>
      <c r="X209" s="789"/>
      <c r="Y209" s="789"/>
      <c r="Z209" s="789"/>
      <c r="AA209" s="789"/>
      <c r="AB209" s="789"/>
    </row>
    <row r="210" spans="1:61" s="592" customFormat="1">
      <c r="S210" s="789"/>
      <c r="T210" s="789"/>
      <c r="U210" s="789"/>
      <c r="V210" s="789"/>
      <c r="W210" s="789"/>
      <c r="X210" s="789"/>
      <c r="Y210" s="789"/>
      <c r="Z210" s="789"/>
      <c r="AA210" s="789"/>
      <c r="AB210" s="789"/>
    </row>
    <row r="211" spans="1:61" s="592" customFormat="1">
      <c r="S211" s="35"/>
      <c r="T211" s="176"/>
      <c r="U211" s="176"/>
    </row>
    <row r="212" spans="1:61"/>
    <row r="213" spans="1:61">
      <c r="A213" s="9" t="s">
        <v>293</v>
      </c>
      <c r="B213" s="6"/>
      <c r="C213" s="6"/>
      <c r="D213" s="6"/>
      <c r="E213" s="6"/>
      <c r="F213" s="6"/>
      <c r="G213" s="6"/>
      <c r="H213" s="6"/>
      <c r="I213" s="6"/>
      <c r="J213" s="6"/>
      <c r="K213" s="6"/>
      <c r="L213" s="6"/>
      <c r="M213" s="6"/>
      <c r="N213" s="6"/>
      <c r="O213" s="6"/>
      <c r="P213" s="6"/>
      <c r="Q213" s="6"/>
      <c r="R213" s="6"/>
      <c r="S213" s="6"/>
      <c r="T213" s="6">
        <v>2019</v>
      </c>
      <c r="U213" s="6">
        <f t="shared" ref="U213:BI213" si="43">T213+1</f>
        <v>2020</v>
      </c>
      <c r="V213" s="6">
        <f t="shared" si="43"/>
        <v>2021</v>
      </c>
      <c r="W213" s="6">
        <f t="shared" si="43"/>
        <v>2022</v>
      </c>
      <c r="X213" s="6">
        <f t="shared" si="43"/>
        <v>2023</v>
      </c>
      <c r="Y213" s="6">
        <f t="shared" si="43"/>
        <v>2024</v>
      </c>
      <c r="Z213" s="6">
        <f t="shared" si="43"/>
        <v>2025</v>
      </c>
      <c r="AA213" s="6">
        <f t="shared" si="43"/>
        <v>2026</v>
      </c>
      <c r="AB213" s="6">
        <f t="shared" si="43"/>
        <v>2027</v>
      </c>
      <c r="AC213" s="6">
        <f t="shared" si="43"/>
        <v>2028</v>
      </c>
      <c r="AD213" s="6">
        <f t="shared" si="43"/>
        <v>2029</v>
      </c>
      <c r="AE213" s="6">
        <f t="shared" si="43"/>
        <v>2030</v>
      </c>
      <c r="AF213" s="6">
        <f t="shared" si="43"/>
        <v>2031</v>
      </c>
      <c r="AG213" s="6">
        <f t="shared" si="43"/>
        <v>2032</v>
      </c>
      <c r="AH213" s="6">
        <f t="shared" si="43"/>
        <v>2033</v>
      </c>
      <c r="AI213" s="6">
        <f t="shared" si="43"/>
        <v>2034</v>
      </c>
      <c r="AJ213" s="6">
        <f t="shared" si="43"/>
        <v>2035</v>
      </c>
      <c r="AK213" s="6">
        <f t="shared" si="43"/>
        <v>2036</v>
      </c>
      <c r="AL213" s="6">
        <f t="shared" si="43"/>
        <v>2037</v>
      </c>
      <c r="AM213" s="6">
        <f t="shared" si="43"/>
        <v>2038</v>
      </c>
      <c r="AN213" s="6">
        <f t="shared" si="43"/>
        <v>2039</v>
      </c>
      <c r="AO213" s="6">
        <f t="shared" si="43"/>
        <v>2040</v>
      </c>
      <c r="AP213" s="6">
        <f t="shared" si="43"/>
        <v>2041</v>
      </c>
      <c r="AQ213" s="6">
        <f t="shared" si="43"/>
        <v>2042</v>
      </c>
      <c r="AR213" s="6">
        <f t="shared" si="43"/>
        <v>2043</v>
      </c>
      <c r="AS213" s="6">
        <f t="shared" si="43"/>
        <v>2044</v>
      </c>
      <c r="AT213" s="6">
        <f t="shared" si="43"/>
        <v>2045</v>
      </c>
      <c r="AU213" s="6">
        <f t="shared" si="43"/>
        <v>2046</v>
      </c>
      <c r="AV213" s="6">
        <f t="shared" si="43"/>
        <v>2047</v>
      </c>
      <c r="AW213" s="6">
        <f t="shared" si="43"/>
        <v>2048</v>
      </c>
      <c r="AX213" s="6">
        <f t="shared" si="43"/>
        <v>2049</v>
      </c>
      <c r="AY213" s="6">
        <f t="shared" si="43"/>
        <v>2050</v>
      </c>
      <c r="AZ213" s="6">
        <f t="shared" si="43"/>
        <v>2051</v>
      </c>
      <c r="BA213" s="6">
        <f t="shared" si="43"/>
        <v>2052</v>
      </c>
      <c r="BB213" s="6">
        <f t="shared" si="43"/>
        <v>2053</v>
      </c>
      <c r="BC213" s="6">
        <f t="shared" si="43"/>
        <v>2054</v>
      </c>
      <c r="BD213" s="6">
        <f t="shared" si="43"/>
        <v>2055</v>
      </c>
      <c r="BE213" s="6">
        <f t="shared" si="43"/>
        <v>2056</v>
      </c>
      <c r="BF213" s="6">
        <f t="shared" si="43"/>
        <v>2057</v>
      </c>
      <c r="BG213" s="6">
        <f t="shared" si="43"/>
        <v>2058</v>
      </c>
      <c r="BH213" s="6">
        <f t="shared" si="43"/>
        <v>2059</v>
      </c>
      <c r="BI213" s="6">
        <f t="shared" si="43"/>
        <v>2060</v>
      </c>
    </row>
    <row r="214" spans="1:61" ht="30">
      <c r="A214" s="8" t="s">
        <v>5</v>
      </c>
      <c r="B214" s="13"/>
      <c r="C214" s="13"/>
      <c r="D214" s="13"/>
      <c r="E214" s="13"/>
      <c r="F214" s="13"/>
      <c r="G214" s="13"/>
      <c r="H214" s="13"/>
      <c r="I214" s="13"/>
      <c r="J214" s="13"/>
      <c r="K214" s="13"/>
      <c r="L214" s="13"/>
      <c r="M214" s="13"/>
      <c r="N214" s="13"/>
      <c r="O214" s="13"/>
      <c r="P214" s="13"/>
      <c r="Q214" s="13"/>
      <c r="R214" s="13"/>
      <c r="S214" s="13"/>
      <c r="T214" s="10">
        <f>Indeksacja!T$6/100</f>
        <v>1.0229999999999999</v>
      </c>
      <c r="U214" s="10">
        <f>Indeksacja!U$6/100</f>
        <v>1.034</v>
      </c>
      <c r="V214" s="10">
        <f>Indeksacja!V$6/100</f>
        <v>1.0509999999999999</v>
      </c>
      <c r="W214" s="10">
        <f>Indeksacja!W$6/100</f>
        <v>1.1440000000000001</v>
      </c>
      <c r="X214" s="10">
        <f>Indeksacja!X$6/100</f>
        <v>1.1140000000000001</v>
      </c>
      <c r="Y214" s="19">
        <v>1</v>
      </c>
      <c r="Z214" s="19">
        <v>1</v>
      </c>
      <c r="AA214" s="19">
        <v>1</v>
      </c>
      <c r="AB214" s="19">
        <v>1</v>
      </c>
      <c r="AC214" s="19">
        <v>1</v>
      </c>
      <c r="AD214" s="19">
        <v>1</v>
      </c>
      <c r="AE214" s="19">
        <v>1</v>
      </c>
      <c r="AF214" s="19">
        <v>1</v>
      </c>
      <c r="AG214" s="19">
        <v>1</v>
      </c>
      <c r="AH214" s="19">
        <v>1</v>
      </c>
      <c r="AI214" s="19">
        <v>1</v>
      </c>
      <c r="AJ214" s="19">
        <v>1</v>
      </c>
      <c r="AK214" s="19">
        <v>1</v>
      </c>
      <c r="AL214" s="19">
        <v>1</v>
      </c>
      <c r="AM214" s="19">
        <v>1</v>
      </c>
      <c r="AN214" s="19">
        <v>1</v>
      </c>
      <c r="AO214" s="19">
        <v>1</v>
      </c>
      <c r="AP214" s="19">
        <v>1</v>
      </c>
      <c r="AQ214" s="19">
        <v>1</v>
      </c>
      <c r="AR214" s="19">
        <v>1</v>
      </c>
      <c r="AS214" s="19">
        <v>1</v>
      </c>
      <c r="AT214" s="19">
        <v>1</v>
      </c>
      <c r="AU214" s="19">
        <v>1</v>
      </c>
      <c r="AV214" s="19">
        <v>1</v>
      </c>
      <c r="AW214" s="19">
        <v>1</v>
      </c>
      <c r="AX214" s="19">
        <v>1</v>
      </c>
      <c r="AY214" s="19">
        <v>1</v>
      </c>
      <c r="AZ214" s="19">
        <v>1</v>
      </c>
      <c r="BA214" s="19">
        <v>1</v>
      </c>
      <c r="BB214" s="19">
        <v>1</v>
      </c>
      <c r="BC214" s="19">
        <v>1</v>
      </c>
      <c r="BD214" s="19">
        <v>1</v>
      </c>
      <c r="BE214" s="19">
        <v>1</v>
      </c>
      <c r="BF214" s="19">
        <v>1</v>
      </c>
      <c r="BG214" s="19">
        <v>1</v>
      </c>
      <c r="BH214" s="19">
        <v>1</v>
      </c>
      <c r="BI214" s="19">
        <v>1</v>
      </c>
    </row>
    <row r="215" spans="1:61" ht="30">
      <c r="A215" s="8" t="s">
        <v>94</v>
      </c>
      <c r="B215" s="13"/>
      <c r="C215" s="13"/>
      <c r="D215" s="13"/>
      <c r="E215" s="13"/>
      <c r="F215" s="13"/>
      <c r="G215" s="13"/>
      <c r="H215" s="13"/>
      <c r="I215" s="13"/>
      <c r="J215" s="13"/>
      <c r="K215" s="13"/>
      <c r="L215" s="13"/>
      <c r="M215" s="13"/>
      <c r="N215" s="13"/>
      <c r="O215" s="13"/>
      <c r="P215" s="13"/>
      <c r="Q215" s="13"/>
      <c r="R215" s="13"/>
      <c r="S215" s="13"/>
      <c r="T215" s="215">
        <v>1</v>
      </c>
      <c r="U215" s="10">
        <f t="shared" ref="U215:BI215" si="44">T215*U214</f>
        <v>1.034</v>
      </c>
      <c r="V215" s="10">
        <f t="shared" si="44"/>
        <v>1.0867339999999999</v>
      </c>
      <c r="W215" s="10">
        <f t="shared" si="44"/>
        <v>1.243223696</v>
      </c>
      <c r="X215" s="10">
        <f t="shared" si="44"/>
        <v>1.3849511973440001</v>
      </c>
      <c r="Y215" s="10">
        <f t="shared" si="44"/>
        <v>1.3849511973440001</v>
      </c>
      <c r="Z215" s="10">
        <f t="shared" si="44"/>
        <v>1.3849511973440001</v>
      </c>
      <c r="AA215" s="10">
        <f t="shared" si="44"/>
        <v>1.3849511973440001</v>
      </c>
      <c r="AB215" s="10">
        <f t="shared" si="44"/>
        <v>1.3849511973440001</v>
      </c>
      <c r="AC215" s="10">
        <f t="shared" si="44"/>
        <v>1.3849511973440001</v>
      </c>
      <c r="AD215" s="10">
        <f t="shared" si="44"/>
        <v>1.3849511973440001</v>
      </c>
      <c r="AE215" s="10">
        <f t="shared" si="44"/>
        <v>1.3849511973440001</v>
      </c>
      <c r="AF215" s="10">
        <f t="shared" si="44"/>
        <v>1.3849511973440001</v>
      </c>
      <c r="AG215" s="10">
        <f t="shared" si="44"/>
        <v>1.3849511973440001</v>
      </c>
      <c r="AH215" s="10">
        <f t="shared" si="44"/>
        <v>1.3849511973440001</v>
      </c>
      <c r="AI215" s="10">
        <f t="shared" si="44"/>
        <v>1.3849511973440001</v>
      </c>
      <c r="AJ215" s="10">
        <f t="shared" si="44"/>
        <v>1.3849511973440001</v>
      </c>
      <c r="AK215" s="10">
        <f t="shared" si="44"/>
        <v>1.3849511973440001</v>
      </c>
      <c r="AL215" s="10">
        <f t="shared" si="44"/>
        <v>1.3849511973440001</v>
      </c>
      <c r="AM215" s="10">
        <f t="shared" si="44"/>
        <v>1.3849511973440001</v>
      </c>
      <c r="AN215" s="10">
        <f t="shared" si="44"/>
        <v>1.3849511973440001</v>
      </c>
      <c r="AO215" s="10">
        <f t="shared" si="44"/>
        <v>1.3849511973440001</v>
      </c>
      <c r="AP215" s="10">
        <f t="shared" si="44"/>
        <v>1.3849511973440001</v>
      </c>
      <c r="AQ215" s="10">
        <f t="shared" si="44"/>
        <v>1.3849511973440001</v>
      </c>
      <c r="AR215" s="10">
        <f t="shared" si="44"/>
        <v>1.3849511973440001</v>
      </c>
      <c r="AS215" s="10">
        <f t="shared" si="44"/>
        <v>1.3849511973440001</v>
      </c>
      <c r="AT215" s="10">
        <f t="shared" si="44"/>
        <v>1.3849511973440001</v>
      </c>
      <c r="AU215" s="10">
        <f t="shared" si="44"/>
        <v>1.3849511973440001</v>
      </c>
      <c r="AV215" s="10">
        <f t="shared" si="44"/>
        <v>1.3849511973440001</v>
      </c>
      <c r="AW215" s="10">
        <f t="shared" si="44"/>
        <v>1.3849511973440001</v>
      </c>
      <c r="AX215" s="10">
        <f t="shared" si="44"/>
        <v>1.3849511973440001</v>
      </c>
      <c r="AY215" s="10">
        <f t="shared" si="44"/>
        <v>1.3849511973440001</v>
      </c>
      <c r="AZ215" s="10">
        <f t="shared" si="44"/>
        <v>1.3849511973440001</v>
      </c>
      <c r="BA215" s="10">
        <f t="shared" si="44"/>
        <v>1.3849511973440001</v>
      </c>
      <c r="BB215" s="10">
        <f t="shared" si="44"/>
        <v>1.3849511973440001</v>
      </c>
      <c r="BC215" s="10">
        <f t="shared" si="44"/>
        <v>1.3849511973440001</v>
      </c>
      <c r="BD215" s="10">
        <f t="shared" si="44"/>
        <v>1.3849511973440001</v>
      </c>
      <c r="BE215" s="10">
        <f t="shared" si="44"/>
        <v>1.3849511973440001</v>
      </c>
      <c r="BF215" s="10">
        <f t="shared" si="44"/>
        <v>1.3849511973440001</v>
      </c>
      <c r="BG215" s="10">
        <f t="shared" si="44"/>
        <v>1.3849511973440001</v>
      </c>
      <c r="BH215" s="10">
        <f t="shared" si="44"/>
        <v>1.3849511973440001</v>
      </c>
      <c r="BI215" s="10">
        <f t="shared" si="44"/>
        <v>1.3849511973440001</v>
      </c>
    </row>
    <row r="216" spans="1:61">
      <c r="A216" s="35" t="str">
        <f>Indeksacja!A$7</f>
        <v>Źródło: GUS, https://stat.gov.pl/wskazniki-makroekonomiczne/ - Roczne wskaźniki makroekonomiczne, arkusz "WSKAŹNIKI CEN" (aktualizacja 19.04.2024)</v>
      </c>
    </row>
    <row r="217" spans="1:61"/>
    <row r="218" spans="1:61"/>
    <row r="219" spans="1:61">
      <c r="A219" s="759" t="s">
        <v>904</v>
      </c>
      <c r="B219" s="759"/>
      <c r="C219" s="759"/>
      <c r="D219" s="759"/>
      <c r="E219" s="759"/>
      <c r="F219" s="759"/>
      <c r="G219" s="759"/>
      <c r="H219" s="759"/>
      <c r="I219" s="759"/>
      <c r="J219" s="759"/>
      <c r="K219" s="759"/>
      <c r="L219" s="759"/>
      <c r="M219" s="759"/>
      <c r="N219" s="759"/>
      <c r="O219" s="759"/>
      <c r="P219" s="759"/>
      <c r="Q219" s="759"/>
      <c r="R219" s="759"/>
      <c r="S219" s="759"/>
      <c r="T219" s="759"/>
      <c r="U219" s="759"/>
      <c r="V219" s="759"/>
    </row>
    <row r="220" spans="1:61" s="592" customFormat="1">
      <c r="A220" s="759"/>
      <c r="B220" s="759"/>
      <c r="C220" s="759"/>
      <c r="D220" s="759"/>
      <c r="E220" s="759"/>
      <c r="F220" s="759"/>
      <c r="G220" s="759"/>
      <c r="H220" s="759"/>
      <c r="I220" s="759"/>
      <c r="J220" s="759"/>
      <c r="K220" s="759"/>
      <c r="L220" s="759"/>
      <c r="M220" s="759"/>
      <c r="N220" s="759"/>
      <c r="O220" s="759"/>
      <c r="P220" s="759"/>
      <c r="Q220" s="759"/>
      <c r="R220" s="759"/>
      <c r="S220" s="759"/>
      <c r="T220" s="759"/>
      <c r="U220" s="759"/>
      <c r="V220" s="759"/>
    </row>
    <row r="221" spans="1:61" s="214" customFormat="1">
      <c r="A221" s="754" t="str">
        <f>$A$78</f>
        <v xml:space="preserve">Przyjęto uproszczenie, że udziały pojazdów spalinowych używających benzyny i oleju napędowego będą stałe w całym okresie projekcji. Według przeprowadzonych obliczeń, wpływ zmian prognozowanej struktury floty pojazdów spalinowych na zużycie paliwa [ltr/ poj-km] jest nieznaczny. </v>
      </c>
      <c r="B221" s="754"/>
      <c r="C221" s="754"/>
      <c r="D221" s="754"/>
      <c r="E221" s="754"/>
      <c r="F221" s="754"/>
      <c r="G221" s="754"/>
      <c r="H221" s="754"/>
      <c r="I221" s="754"/>
      <c r="J221" s="754"/>
      <c r="K221" s="754"/>
      <c r="L221" s="754"/>
      <c r="M221" s="754"/>
      <c r="N221" s="754"/>
      <c r="O221" s="754"/>
      <c r="P221" s="754"/>
      <c r="Q221" s="754"/>
      <c r="R221" s="754"/>
      <c r="S221" s="754"/>
      <c r="T221" s="754"/>
      <c r="U221" s="754"/>
      <c r="V221" s="754"/>
    </row>
    <row r="222" spans="1:61" s="592" customFormat="1">
      <c r="A222" s="754"/>
      <c r="B222" s="754"/>
      <c r="C222" s="754"/>
      <c r="D222" s="754"/>
      <c r="E222" s="754"/>
      <c r="F222" s="754"/>
      <c r="G222" s="754"/>
      <c r="H222" s="754"/>
      <c r="I222" s="754"/>
      <c r="J222" s="754"/>
      <c r="K222" s="754"/>
      <c r="L222" s="754"/>
      <c r="M222" s="754"/>
      <c r="N222" s="754"/>
      <c r="O222" s="754"/>
      <c r="P222" s="754"/>
      <c r="Q222" s="754"/>
      <c r="R222" s="754"/>
      <c r="S222" s="754"/>
      <c r="T222" s="754"/>
      <c r="U222" s="754"/>
      <c r="V222" s="754"/>
    </row>
    <row r="223" spans="1:61" s="592" customFormat="1">
      <c r="A223" s="754"/>
      <c r="B223" s="754"/>
      <c r="C223" s="754"/>
      <c r="D223" s="754"/>
      <c r="E223" s="754"/>
      <c r="F223" s="754"/>
      <c r="G223" s="754"/>
      <c r="H223" s="754"/>
      <c r="I223" s="754"/>
      <c r="J223" s="754"/>
      <c r="K223" s="754"/>
      <c r="L223" s="754"/>
      <c r="M223" s="754"/>
      <c r="N223" s="754"/>
      <c r="O223" s="754"/>
      <c r="P223" s="754"/>
      <c r="Q223" s="754"/>
      <c r="R223" s="754"/>
      <c r="S223" s="754"/>
      <c r="T223" s="754"/>
      <c r="U223" s="754"/>
      <c r="V223" s="754"/>
    </row>
    <row r="224" spans="1:61" s="592" customFormat="1">
      <c r="A224" s="774" t="s">
        <v>611</v>
      </c>
      <c r="B224" s="774"/>
      <c r="C224" s="774"/>
      <c r="D224" s="774"/>
      <c r="E224" s="774"/>
      <c r="F224" s="774"/>
      <c r="G224" s="774"/>
      <c r="H224" s="774"/>
      <c r="I224" s="774"/>
      <c r="J224" s="774"/>
      <c r="K224" s="774"/>
      <c r="L224" s="774"/>
      <c r="M224" s="774"/>
      <c r="N224" s="774"/>
      <c r="O224" s="774"/>
      <c r="P224" s="774"/>
      <c r="Q224" s="774"/>
      <c r="R224" s="774"/>
      <c r="S224" s="774"/>
      <c r="T224" s="774"/>
      <c r="U224" s="774"/>
      <c r="V224" s="774"/>
    </row>
    <row r="225" spans="1:61">
      <c r="A225" s="794"/>
      <c r="B225" s="794"/>
      <c r="C225" s="794"/>
      <c r="D225" s="794"/>
      <c r="E225" s="794"/>
      <c r="F225" s="794"/>
      <c r="G225" s="794"/>
      <c r="H225" s="794"/>
      <c r="I225" s="794"/>
      <c r="J225" s="794"/>
      <c r="K225" s="794"/>
      <c r="L225" s="794"/>
      <c r="M225" s="794"/>
      <c r="N225" s="794"/>
      <c r="O225" s="794"/>
      <c r="P225" s="794"/>
      <c r="Q225" s="794"/>
      <c r="R225" s="794"/>
      <c r="S225" s="794"/>
      <c r="T225" s="794"/>
      <c r="U225" s="794"/>
      <c r="V225" s="794"/>
    </row>
    <row r="226" spans="1:61" s="515" customFormat="1">
      <c r="A226" s="757" t="s">
        <v>308</v>
      </c>
      <c r="B226" s="663" t="s">
        <v>309</v>
      </c>
      <c r="C226" s="649"/>
      <c r="D226" s="649"/>
      <c r="E226" s="649"/>
      <c r="F226" s="649"/>
      <c r="G226" s="649"/>
      <c r="H226" s="649"/>
      <c r="I226" s="649"/>
      <c r="J226" s="649"/>
      <c r="K226" s="649"/>
      <c r="L226" s="649"/>
      <c r="M226" s="649"/>
      <c r="N226" s="649"/>
      <c r="O226" s="649"/>
      <c r="P226" s="652"/>
      <c r="Q226" s="6"/>
      <c r="R226" s="6"/>
      <c r="S226" s="6"/>
      <c r="T226" s="6">
        <v>2020</v>
      </c>
      <c r="U226" s="6">
        <f>T226+1</f>
        <v>2021</v>
      </c>
      <c r="V226" s="6">
        <f t="shared" ref="V226:BI226" si="45">U226+1</f>
        <v>2022</v>
      </c>
      <c r="W226" s="6">
        <f t="shared" si="45"/>
        <v>2023</v>
      </c>
      <c r="X226" s="6">
        <f t="shared" si="45"/>
        <v>2024</v>
      </c>
      <c r="Y226" s="6">
        <f t="shared" si="45"/>
        <v>2025</v>
      </c>
      <c r="Z226" s="6">
        <f t="shared" si="45"/>
        <v>2026</v>
      </c>
      <c r="AA226" s="6">
        <f t="shared" si="45"/>
        <v>2027</v>
      </c>
      <c r="AB226" s="6">
        <f t="shared" si="45"/>
        <v>2028</v>
      </c>
      <c r="AC226" s="6">
        <f t="shared" si="45"/>
        <v>2029</v>
      </c>
      <c r="AD226" s="6">
        <f t="shared" si="45"/>
        <v>2030</v>
      </c>
      <c r="AE226" s="6">
        <f t="shared" si="45"/>
        <v>2031</v>
      </c>
      <c r="AF226" s="6">
        <f t="shared" si="45"/>
        <v>2032</v>
      </c>
      <c r="AG226" s="6">
        <f t="shared" si="45"/>
        <v>2033</v>
      </c>
      <c r="AH226" s="6">
        <f t="shared" si="45"/>
        <v>2034</v>
      </c>
      <c r="AI226" s="6">
        <f t="shared" si="45"/>
        <v>2035</v>
      </c>
      <c r="AJ226" s="6">
        <f t="shared" si="45"/>
        <v>2036</v>
      </c>
      <c r="AK226" s="6">
        <f t="shared" si="45"/>
        <v>2037</v>
      </c>
      <c r="AL226" s="6">
        <f t="shared" si="45"/>
        <v>2038</v>
      </c>
      <c r="AM226" s="6">
        <f t="shared" si="45"/>
        <v>2039</v>
      </c>
      <c r="AN226" s="6">
        <f t="shared" si="45"/>
        <v>2040</v>
      </c>
      <c r="AO226" s="6">
        <f t="shared" si="45"/>
        <v>2041</v>
      </c>
      <c r="AP226" s="6">
        <f t="shared" si="45"/>
        <v>2042</v>
      </c>
      <c r="AQ226" s="6">
        <f t="shared" si="45"/>
        <v>2043</v>
      </c>
      <c r="AR226" s="6">
        <f t="shared" si="45"/>
        <v>2044</v>
      </c>
      <c r="AS226" s="6">
        <f t="shared" si="45"/>
        <v>2045</v>
      </c>
      <c r="AT226" s="6">
        <f t="shared" si="45"/>
        <v>2046</v>
      </c>
      <c r="AU226" s="6">
        <f t="shared" si="45"/>
        <v>2047</v>
      </c>
      <c r="AV226" s="6">
        <f t="shared" si="45"/>
        <v>2048</v>
      </c>
      <c r="AW226" s="6">
        <f t="shared" si="45"/>
        <v>2049</v>
      </c>
      <c r="AX226" s="6">
        <f t="shared" si="45"/>
        <v>2050</v>
      </c>
      <c r="AY226" s="6">
        <f t="shared" si="45"/>
        <v>2051</v>
      </c>
      <c r="AZ226" s="6">
        <f t="shared" si="45"/>
        <v>2052</v>
      </c>
      <c r="BA226" s="6">
        <f t="shared" si="45"/>
        <v>2053</v>
      </c>
      <c r="BB226" s="6">
        <f t="shared" si="45"/>
        <v>2054</v>
      </c>
      <c r="BC226" s="6">
        <f t="shared" si="45"/>
        <v>2055</v>
      </c>
      <c r="BD226" s="6">
        <f t="shared" si="45"/>
        <v>2056</v>
      </c>
      <c r="BE226" s="6">
        <f t="shared" si="45"/>
        <v>2057</v>
      </c>
      <c r="BF226" s="6">
        <f t="shared" si="45"/>
        <v>2058</v>
      </c>
      <c r="BG226" s="6">
        <f t="shared" si="45"/>
        <v>2059</v>
      </c>
      <c r="BH226" s="6">
        <f t="shared" si="45"/>
        <v>2060</v>
      </c>
      <c r="BI226" s="6">
        <f t="shared" si="45"/>
        <v>2061</v>
      </c>
    </row>
    <row r="227" spans="1:61">
      <c r="A227" s="758"/>
      <c r="B227" s="664" t="s">
        <v>510</v>
      </c>
      <c r="C227" s="659"/>
      <c r="D227" s="659"/>
      <c r="E227" s="659"/>
      <c r="F227" s="659"/>
      <c r="G227" s="659"/>
      <c r="H227" s="659"/>
      <c r="I227" s="659"/>
      <c r="J227" s="659"/>
      <c r="K227" s="659"/>
      <c r="L227" s="659"/>
      <c r="M227" s="659"/>
      <c r="N227" s="659"/>
      <c r="O227" s="659"/>
      <c r="P227" s="665"/>
      <c r="Q227" s="661">
        <f>DATE(2016,12,31)</f>
        <v>42735</v>
      </c>
      <c r="R227" s="661">
        <f>DATE(YEAR(Q227+1),12,31)</f>
        <v>43100</v>
      </c>
      <c r="S227" s="661">
        <f t="shared" ref="S227" si="46">DATE(YEAR(R227+1),12,31)</f>
        <v>43465</v>
      </c>
      <c r="T227" s="661">
        <f>DATE(YEAR(S227+1),12,31)</f>
        <v>43830</v>
      </c>
      <c r="U227" s="661">
        <f t="shared" ref="U227:BI227" si="47">DATE(YEAR(T227+1),12,31)</f>
        <v>44196</v>
      </c>
      <c r="V227" s="661">
        <f t="shared" si="47"/>
        <v>44561</v>
      </c>
      <c r="W227" s="661">
        <f t="shared" si="47"/>
        <v>44926</v>
      </c>
      <c r="X227" s="661">
        <f t="shared" si="47"/>
        <v>45291</v>
      </c>
      <c r="Y227" s="661">
        <f t="shared" si="47"/>
        <v>45657</v>
      </c>
      <c r="Z227" s="661">
        <f t="shared" si="47"/>
        <v>46022</v>
      </c>
      <c r="AA227" s="661">
        <f t="shared" si="47"/>
        <v>46387</v>
      </c>
      <c r="AB227" s="661">
        <f t="shared" si="47"/>
        <v>46752</v>
      </c>
      <c r="AC227" s="661">
        <f t="shared" si="47"/>
        <v>47118</v>
      </c>
      <c r="AD227" s="661">
        <f t="shared" si="47"/>
        <v>47483</v>
      </c>
      <c r="AE227" s="661">
        <f t="shared" si="47"/>
        <v>47848</v>
      </c>
      <c r="AF227" s="661">
        <f t="shared" si="47"/>
        <v>48213</v>
      </c>
      <c r="AG227" s="661">
        <f t="shared" si="47"/>
        <v>48579</v>
      </c>
      <c r="AH227" s="661">
        <f t="shared" si="47"/>
        <v>48944</v>
      </c>
      <c r="AI227" s="661">
        <f t="shared" si="47"/>
        <v>49309</v>
      </c>
      <c r="AJ227" s="661">
        <f t="shared" si="47"/>
        <v>49674</v>
      </c>
      <c r="AK227" s="661">
        <f t="shared" si="47"/>
        <v>50040</v>
      </c>
      <c r="AL227" s="661">
        <f t="shared" si="47"/>
        <v>50405</v>
      </c>
      <c r="AM227" s="661">
        <f t="shared" si="47"/>
        <v>50770</v>
      </c>
      <c r="AN227" s="661">
        <f t="shared" si="47"/>
        <v>51135</v>
      </c>
      <c r="AO227" s="661">
        <f t="shared" si="47"/>
        <v>51501</v>
      </c>
      <c r="AP227" s="661">
        <f t="shared" si="47"/>
        <v>51866</v>
      </c>
      <c r="AQ227" s="661">
        <f t="shared" si="47"/>
        <v>52231</v>
      </c>
      <c r="AR227" s="661">
        <f t="shared" si="47"/>
        <v>52596</v>
      </c>
      <c r="AS227" s="661">
        <f t="shared" si="47"/>
        <v>52962</v>
      </c>
      <c r="AT227" s="661">
        <f t="shared" si="47"/>
        <v>53327</v>
      </c>
      <c r="AU227" s="661">
        <f t="shared" si="47"/>
        <v>53692</v>
      </c>
      <c r="AV227" s="661">
        <f t="shared" si="47"/>
        <v>54057</v>
      </c>
      <c r="AW227" s="661">
        <f t="shared" si="47"/>
        <v>54423</v>
      </c>
      <c r="AX227" s="661">
        <f t="shared" si="47"/>
        <v>54788</v>
      </c>
      <c r="AY227" s="661">
        <f t="shared" si="47"/>
        <v>55153</v>
      </c>
      <c r="AZ227" s="661">
        <f t="shared" si="47"/>
        <v>55518</v>
      </c>
      <c r="BA227" s="661">
        <f t="shared" si="47"/>
        <v>55884</v>
      </c>
      <c r="BB227" s="661">
        <f t="shared" si="47"/>
        <v>56249</v>
      </c>
      <c r="BC227" s="661">
        <f t="shared" si="47"/>
        <v>56614</v>
      </c>
      <c r="BD227" s="661">
        <f t="shared" si="47"/>
        <v>56979</v>
      </c>
      <c r="BE227" s="661">
        <f t="shared" si="47"/>
        <v>57345</v>
      </c>
      <c r="BF227" s="661">
        <f t="shared" si="47"/>
        <v>57710</v>
      </c>
      <c r="BG227" s="661">
        <f t="shared" si="47"/>
        <v>58075</v>
      </c>
      <c r="BH227" s="661">
        <f t="shared" si="47"/>
        <v>58440</v>
      </c>
      <c r="BI227" s="661">
        <f t="shared" si="47"/>
        <v>58806</v>
      </c>
    </row>
    <row r="228" spans="1:61">
      <c r="A228" s="8" t="str">
        <f>"Prędkość "&amp;$S$179&amp;" km/h"</f>
        <v>Prędkość 60,00÷69,99 km/h</v>
      </c>
      <c r="B228" s="110" t="s">
        <v>25</v>
      </c>
      <c r="C228" s="13"/>
      <c r="D228" s="13"/>
      <c r="E228" s="13"/>
      <c r="F228" s="13"/>
      <c r="G228" s="13"/>
      <c r="H228" s="13"/>
      <c r="I228" s="13"/>
      <c r="J228" s="13"/>
      <c r="K228" s="13"/>
      <c r="L228" s="13"/>
      <c r="M228" s="13"/>
      <c r="N228" s="13"/>
      <c r="O228" s="13"/>
      <c r="P228" s="13"/>
      <c r="Q228" s="78"/>
      <c r="R228" s="78"/>
      <c r="S228" s="78"/>
      <c r="T228" s="10">
        <f t="shared" ref="T228:BI228" si="48">$T$179*$T$205*T$215</f>
        <v>0.96975015681767085</v>
      </c>
      <c r="U228" s="10">
        <f t="shared" si="48"/>
        <v>1.0027216621494717</v>
      </c>
      <c r="V228" s="10">
        <f t="shared" si="48"/>
        <v>1.0538604669190945</v>
      </c>
      <c r="W228" s="10">
        <f t="shared" si="48"/>
        <v>1.2056163741554444</v>
      </c>
      <c r="X228" s="10">
        <f t="shared" si="48"/>
        <v>1.3430566408091651</v>
      </c>
      <c r="Y228" s="10">
        <f t="shared" si="48"/>
        <v>1.3430566408091651</v>
      </c>
      <c r="Z228" s="10">
        <f t="shared" si="48"/>
        <v>1.3430566408091651</v>
      </c>
      <c r="AA228" s="10">
        <f t="shared" si="48"/>
        <v>1.3430566408091651</v>
      </c>
      <c r="AB228" s="10">
        <f t="shared" si="48"/>
        <v>1.3430566408091651</v>
      </c>
      <c r="AC228" s="10">
        <f t="shared" si="48"/>
        <v>1.3430566408091651</v>
      </c>
      <c r="AD228" s="10">
        <f t="shared" si="48"/>
        <v>1.3430566408091651</v>
      </c>
      <c r="AE228" s="10">
        <f t="shared" si="48"/>
        <v>1.3430566408091651</v>
      </c>
      <c r="AF228" s="10">
        <f t="shared" si="48"/>
        <v>1.3430566408091651</v>
      </c>
      <c r="AG228" s="10">
        <f t="shared" si="48"/>
        <v>1.3430566408091651</v>
      </c>
      <c r="AH228" s="10">
        <f t="shared" si="48"/>
        <v>1.3430566408091651</v>
      </c>
      <c r="AI228" s="10">
        <f t="shared" si="48"/>
        <v>1.3430566408091651</v>
      </c>
      <c r="AJ228" s="10">
        <f t="shared" si="48"/>
        <v>1.3430566408091651</v>
      </c>
      <c r="AK228" s="10">
        <f t="shared" si="48"/>
        <v>1.3430566408091651</v>
      </c>
      <c r="AL228" s="10">
        <f t="shared" si="48"/>
        <v>1.3430566408091651</v>
      </c>
      <c r="AM228" s="10">
        <f t="shared" si="48"/>
        <v>1.3430566408091651</v>
      </c>
      <c r="AN228" s="10">
        <f t="shared" si="48"/>
        <v>1.3430566408091651</v>
      </c>
      <c r="AO228" s="10">
        <f t="shared" si="48"/>
        <v>1.3430566408091651</v>
      </c>
      <c r="AP228" s="10">
        <f t="shared" si="48"/>
        <v>1.3430566408091651</v>
      </c>
      <c r="AQ228" s="10">
        <f t="shared" si="48"/>
        <v>1.3430566408091651</v>
      </c>
      <c r="AR228" s="10">
        <f t="shared" si="48"/>
        <v>1.3430566408091651</v>
      </c>
      <c r="AS228" s="10">
        <f t="shared" si="48"/>
        <v>1.3430566408091651</v>
      </c>
      <c r="AT228" s="10">
        <f t="shared" si="48"/>
        <v>1.3430566408091651</v>
      </c>
      <c r="AU228" s="10">
        <f t="shared" si="48"/>
        <v>1.3430566408091651</v>
      </c>
      <c r="AV228" s="10">
        <f t="shared" si="48"/>
        <v>1.3430566408091651</v>
      </c>
      <c r="AW228" s="10">
        <f t="shared" si="48"/>
        <v>1.3430566408091651</v>
      </c>
      <c r="AX228" s="10">
        <f t="shared" si="48"/>
        <v>1.3430566408091651</v>
      </c>
      <c r="AY228" s="10">
        <f t="shared" si="48"/>
        <v>1.3430566408091651</v>
      </c>
      <c r="AZ228" s="10">
        <f t="shared" si="48"/>
        <v>1.3430566408091651</v>
      </c>
      <c r="BA228" s="10">
        <f t="shared" si="48"/>
        <v>1.3430566408091651</v>
      </c>
      <c r="BB228" s="10">
        <f t="shared" si="48"/>
        <v>1.3430566408091651</v>
      </c>
      <c r="BC228" s="10">
        <f t="shared" si="48"/>
        <v>1.3430566408091651</v>
      </c>
      <c r="BD228" s="10">
        <f t="shared" si="48"/>
        <v>1.3430566408091651</v>
      </c>
      <c r="BE228" s="10">
        <f t="shared" si="48"/>
        <v>1.3430566408091651</v>
      </c>
      <c r="BF228" s="10">
        <f t="shared" si="48"/>
        <v>1.3430566408091651</v>
      </c>
      <c r="BG228" s="10">
        <f t="shared" si="48"/>
        <v>1.3430566408091651</v>
      </c>
      <c r="BH228" s="10">
        <f t="shared" si="48"/>
        <v>1.3430566408091651</v>
      </c>
      <c r="BI228" s="10">
        <f t="shared" si="48"/>
        <v>1.3430566408091651</v>
      </c>
    </row>
    <row r="229" spans="1:61"/>
    <row r="230" spans="1:61"/>
    <row r="231" spans="1:61"/>
    <row r="232" spans="1:61">
      <c r="A232" s="113" t="s">
        <v>612</v>
      </c>
      <c r="B232" s="113"/>
      <c r="C232" s="113"/>
      <c r="D232" s="113"/>
      <c r="E232" s="113"/>
      <c r="F232" s="113"/>
      <c r="G232" s="113"/>
      <c r="H232" s="113"/>
      <c r="I232" s="113"/>
      <c r="J232" s="113"/>
      <c r="K232" s="113"/>
      <c r="L232" s="113"/>
      <c r="M232" s="113"/>
      <c r="N232" s="113"/>
      <c r="O232" s="113"/>
      <c r="P232" s="113"/>
      <c r="Q232" s="113"/>
    </row>
    <row r="233" spans="1:61"/>
    <row r="234" spans="1:61" hidden="1" outlineLevel="1">
      <c r="A234" s="114" t="s">
        <v>613</v>
      </c>
    </row>
    <row r="235" spans="1:61" hidden="1" outlineLevel="1">
      <c r="A235" s="117" t="s">
        <v>65</v>
      </c>
    </row>
    <row r="236" spans="1:61" ht="60.75" hidden="1" outlineLevel="1" thickBot="1">
      <c r="A236" s="181" t="s">
        <v>48</v>
      </c>
      <c r="B236" s="139"/>
      <c r="C236" s="139"/>
      <c r="D236" s="139"/>
      <c r="E236" s="139"/>
      <c r="F236" s="139"/>
      <c r="G236" s="139"/>
      <c r="H236" s="139"/>
      <c r="I236" s="139"/>
      <c r="J236" s="139"/>
      <c r="K236" s="139"/>
      <c r="L236" s="139"/>
      <c r="M236" s="139"/>
      <c r="N236" s="139"/>
      <c r="O236" s="139"/>
      <c r="P236" s="181" t="s">
        <v>100</v>
      </c>
      <c r="Q236" s="181" t="s">
        <v>49</v>
      </c>
      <c r="R236"/>
    </row>
    <row r="237" spans="1:61" ht="30" hidden="1" outlineLevel="1">
      <c r="A237" s="177" t="s">
        <v>50</v>
      </c>
      <c r="B237" s="177" t="s">
        <v>51</v>
      </c>
      <c r="P237" s="115">
        <v>1.81</v>
      </c>
      <c r="Q237" s="128">
        <f t="shared" ref="Q237:Q242" si="49">P237*$B$246</f>
        <v>0.50277777777777777</v>
      </c>
      <c r="R237"/>
    </row>
    <row r="238" spans="1:61" ht="30" hidden="1" outlineLevel="1">
      <c r="A238" s="177" t="str">
        <f>A237</f>
        <v>Samochód osobowy, hybrydowy benzyna +elektryczny</v>
      </c>
      <c r="B238" s="177" t="s">
        <v>52</v>
      </c>
      <c r="P238" s="115">
        <v>2.37</v>
      </c>
      <c r="Q238" s="128">
        <f t="shared" si="49"/>
        <v>0.65833333333333344</v>
      </c>
      <c r="R238"/>
    </row>
    <row r="239" spans="1:61" ht="30" hidden="1" outlineLevel="1">
      <c r="A239" s="177" t="s">
        <v>53</v>
      </c>
      <c r="B239" s="177" t="s">
        <v>51</v>
      </c>
      <c r="P239" s="115">
        <v>0.84</v>
      </c>
      <c r="Q239" s="128">
        <f t="shared" si="49"/>
        <v>0.23333333333333334</v>
      </c>
      <c r="R239"/>
    </row>
    <row r="240" spans="1:61" ht="30" hidden="1" outlineLevel="1">
      <c r="A240" s="177" t="s">
        <v>53</v>
      </c>
      <c r="B240" s="177" t="s">
        <v>52</v>
      </c>
      <c r="P240" s="115">
        <v>0.73</v>
      </c>
      <c r="Q240" s="128">
        <f t="shared" si="49"/>
        <v>0.20277777777777778</v>
      </c>
      <c r="R240"/>
    </row>
    <row r="241" spans="1:25" ht="45" hidden="1" outlineLevel="1">
      <c r="A241" s="177" t="s">
        <v>54</v>
      </c>
      <c r="B241" s="177" t="s">
        <v>51</v>
      </c>
      <c r="P241" s="115">
        <v>11.42</v>
      </c>
      <c r="Q241" s="128">
        <f t="shared" si="49"/>
        <v>3.1722222222222225</v>
      </c>
      <c r="R241"/>
    </row>
    <row r="242" spans="1:25" ht="30" hidden="1" outlineLevel="1">
      <c r="A242" s="178" t="s">
        <v>55</v>
      </c>
      <c r="B242" s="178" t="s">
        <v>51</v>
      </c>
      <c r="C242" s="180"/>
      <c r="D242" s="180"/>
      <c r="E242" s="180"/>
      <c r="F242" s="180"/>
      <c r="G242" s="180"/>
      <c r="H242" s="180"/>
      <c r="I242" s="180"/>
      <c r="J242" s="180"/>
      <c r="K242" s="180"/>
      <c r="L242" s="180"/>
      <c r="M242" s="180"/>
      <c r="N242" s="180"/>
      <c r="O242" s="180"/>
      <c r="P242" s="122">
        <v>7.83</v>
      </c>
      <c r="Q242" s="129">
        <f t="shared" si="49"/>
        <v>2.1750000000000003</v>
      </c>
      <c r="R242"/>
    </row>
    <row r="243" spans="1:25" hidden="1" outlineLevel="1">
      <c r="A243" s="126" t="s">
        <v>614</v>
      </c>
      <c r="B243" s="144"/>
      <c r="C243" s="144"/>
      <c r="D243" s="144"/>
      <c r="E243" s="144"/>
      <c r="F243" s="144"/>
      <c r="G243" s="144"/>
      <c r="H243" s="144"/>
      <c r="I243" s="144"/>
      <c r="J243" s="144"/>
      <c r="K243" s="144"/>
      <c r="L243" s="144"/>
      <c r="M243" s="144"/>
      <c r="N243" s="144"/>
      <c r="O243" s="144"/>
      <c r="P243" s="145"/>
      <c r="Q243" s="146"/>
      <c r="R243" s="147"/>
      <c r="S243" s="148"/>
      <c r="T243" s="149"/>
    </row>
    <row r="244" spans="1:25" hidden="1" outlineLevel="1">
      <c r="A244" s="35" t="s">
        <v>66</v>
      </c>
    </row>
    <row r="245" spans="1:25" hidden="1" outlineLevel="1"/>
    <row r="246" spans="1:25" hidden="1" outlineLevel="1">
      <c r="A246" s="179" t="s">
        <v>33</v>
      </c>
      <c r="B246" s="137">
        <f>B247/(B248*B249)</f>
        <v>0.27777777777777779</v>
      </c>
    </row>
    <row r="247" spans="1:25" hidden="1" outlineLevel="1">
      <c r="B247" s="87">
        <f>10^6</f>
        <v>1000000</v>
      </c>
      <c r="P247" s="179" t="s">
        <v>45</v>
      </c>
    </row>
    <row r="248" spans="1:25" hidden="1" outlineLevel="1">
      <c r="B248" s="87">
        <f>10^3</f>
        <v>1000</v>
      </c>
      <c r="P248" s="179" t="s">
        <v>46</v>
      </c>
    </row>
    <row r="249" spans="1:25" hidden="1" outlineLevel="1">
      <c r="B249" s="87">
        <f>(60*60)</f>
        <v>3600</v>
      </c>
      <c r="P249" s="179" t="s">
        <v>47</v>
      </c>
    </row>
    <row r="250" spans="1:25" hidden="1" outlineLevel="1"/>
    <row r="251" spans="1:25" collapsed="1">
      <c r="A251" s="187" t="s">
        <v>108</v>
      </c>
      <c r="R251" s="176"/>
      <c r="S251" s="816" t="str">
        <f>$A$202</f>
        <v xml:space="preserve">Mnożniki te należy stosować do łącznych VOC (nie tylko do kosztów zużycia paliwa lub energii elektrycznej). </v>
      </c>
      <c r="T251" s="816"/>
      <c r="U251" s="816"/>
      <c r="W251" s="818" t="str">
        <f>$AD$172</f>
        <v xml:space="preserve">Mnożniki te należy stosować do łącznych VOC (nie tylko do kosztów zużycia paliwa lub energii elektrycznej). </v>
      </c>
      <c r="X251" s="818"/>
      <c r="Y251" s="818"/>
    </row>
    <row r="252" spans="1:25" s="535" customFormat="1">
      <c r="A252" s="187"/>
      <c r="R252" s="176"/>
      <c r="S252" s="816"/>
      <c r="T252" s="816"/>
      <c r="U252" s="816"/>
      <c r="W252" s="818"/>
      <c r="X252" s="818"/>
      <c r="Y252" s="818"/>
    </row>
    <row r="253" spans="1:25" s="535" customFormat="1" ht="15.75" thickBot="1">
      <c r="A253" s="187"/>
      <c r="R253" s="176"/>
      <c r="S253" s="817"/>
      <c r="T253" s="817"/>
      <c r="U253" s="817"/>
      <c r="W253" s="819"/>
      <c r="X253" s="819"/>
      <c r="Y253" s="819"/>
    </row>
    <row r="254" spans="1:25" ht="15" customHeight="1">
      <c r="S254" s="105" t="s">
        <v>27</v>
      </c>
      <c r="T254" s="107"/>
      <c r="U254" s="106"/>
      <c r="W254" s="105" t="s">
        <v>28</v>
      </c>
      <c r="X254" s="107"/>
      <c r="Y254" s="106"/>
    </row>
    <row r="255" spans="1:25" ht="30.75" thickBot="1">
      <c r="S255" s="32" t="s">
        <v>26</v>
      </c>
      <c r="T255" s="33" t="s">
        <v>10</v>
      </c>
      <c r="U255" s="190" t="s">
        <v>107</v>
      </c>
      <c r="W255" s="25" t="s">
        <v>109</v>
      </c>
      <c r="X255" s="20" t="s">
        <v>10</v>
      </c>
      <c r="Y255" s="190" t="s">
        <v>107</v>
      </c>
    </row>
    <row r="256" spans="1:25">
      <c r="S256" s="26" t="s">
        <v>13</v>
      </c>
      <c r="T256" s="30">
        <f>T205</f>
        <v>1</v>
      </c>
      <c r="U256" s="31">
        <f>U205</f>
        <v>1</v>
      </c>
      <c r="W256" s="26" t="s">
        <v>110</v>
      </c>
      <c r="X256" s="191">
        <v>1</v>
      </c>
      <c r="Y256" s="192">
        <v>1</v>
      </c>
    </row>
    <row r="257" spans="1:28" ht="15.75" thickBot="1">
      <c r="S257" s="27" t="s">
        <v>12</v>
      </c>
      <c r="T257" s="28">
        <f>T206</f>
        <v>1.0316643084185093</v>
      </c>
      <c r="U257" s="29">
        <f>U206</f>
        <v>1.1996070463245994</v>
      </c>
      <c r="W257" s="193" t="s">
        <v>111</v>
      </c>
      <c r="X257" s="108">
        <f>AVERAGE(AB177,AB183)</f>
        <v>1.1687500000000002</v>
      </c>
      <c r="Y257" s="104">
        <f>AVERAGE(AC177,AC183)</f>
        <v>1.1875</v>
      </c>
    </row>
    <row r="258" spans="1:28">
      <c r="S258" s="35" t="str">
        <f>$S$207</f>
        <v>Źródło: Obliczenia własne</v>
      </c>
      <c r="T258" s="176"/>
      <c r="U258" s="176"/>
      <c r="W258" s="189" t="str">
        <f>$AA$187</f>
        <v>Źródło: Obliczenia własne na podstawie "Optimisation of Maintenance", OECD/ITF 2012, str. 12</v>
      </c>
    </row>
    <row r="259" spans="1:28" s="536" customFormat="1">
      <c r="S259" s="789" t="str">
        <f>$S$208</f>
        <v xml:space="preserve">W obliczeniach mnożników nachylenia podłużnego drogi uwzględniono, że teren falisty zwiększa zużycie paliwa lub energii w pojazdach lekkich o 15% oraz uwzględniono, że łączny VOC oprócz kosztu zużycia paliwa lub energii obejmuje również koszt posiadania samochodu. 
W przypadku HGV przyjęto dodatkowe założenia dotyczące funkcji zużycia paliwa. </v>
      </c>
      <c r="T259" s="789"/>
      <c r="U259" s="789"/>
      <c r="V259" s="789"/>
      <c r="W259" s="789"/>
      <c r="X259" s="789"/>
      <c r="Y259" s="789"/>
      <c r="Z259" s="789"/>
      <c r="AA259" s="789"/>
      <c r="AB259" s="789"/>
    </row>
    <row r="260" spans="1:28" s="592" customFormat="1">
      <c r="S260" s="789"/>
      <c r="T260" s="789"/>
      <c r="U260" s="789"/>
      <c r="V260" s="789"/>
      <c r="W260" s="789"/>
      <c r="X260" s="789"/>
      <c r="Y260" s="789"/>
      <c r="Z260" s="789"/>
      <c r="AA260" s="789"/>
      <c r="AB260" s="789"/>
    </row>
    <row r="261" spans="1:28" s="592" customFormat="1">
      <c r="S261" s="789"/>
      <c r="T261" s="789"/>
      <c r="U261" s="789"/>
      <c r="V261" s="789"/>
      <c r="W261" s="789"/>
      <c r="X261" s="789"/>
      <c r="Y261" s="789"/>
      <c r="Z261" s="789"/>
      <c r="AA261" s="789"/>
      <c r="AB261" s="789"/>
    </row>
    <row r="262" spans="1:28" hidden="1" outlineLevel="1">
      <c r="A262" s="1" t="s">
        <v>101</v>
      </c>
    </row>
    <row r="263" spans="1:28" hidden="1" outlineLevel="1">
      <c r="A263" s="179" t="s">
        <v>615</v>
      </c>
    </row>
    <row r="264" spans="1:28" hidden="1" outlineLevel="1">
      <c r="A264" s="9"/>
      <c r="B264" s="9"/>
      <c r="C264" s="9"/>
      <c r="D264" s="9"/>
      <c r="E264" s="9"/>
      <c r="F264" s="9"/>
      <c r="G264" s="9"/>
      <c r="H264" s="9"/>
      <c r="I264" s="9"/>
      <c r="J264" s="9"/>
      <c r="K264" s="9"/>
      <c r="L264" s="9"/>
      <c r="M264" s="9"/>
      <c r="N264" s="9"/>
      <c r="O264" s="9"/>
      <c r="P264" s="9"/>
      <c r="Q264" s="9"/>
      <c r="R264" s="9"/>
      <c r="S264" s="9"/>
      <c r="T264" s="183">
        <v>2019</v>
      </c>
    </row>
    <row r="265" spans="1:28" ht="75" hidden="1" outlineLevel="1">
      <c r="A265" s="8" t="s">
        <v>97</v>
      </c>
      <c r="B265" s="182" t="s">
        <v>95</v>
      </c>
      <c r="C265" s="75"/>
      <c r="D265" s="75"/>
      <c r="E265" s="75"/>
      <c r="F265" s="75"/>
      <c r="G265" s="75"/>
      <c r="H265" s="75"/>
      <c r="I265" s="75"/>
      <c r="J265" s="75"/>
      <c r="K265" s="75"/>
      <c r="L265" s="75"/>
      <c r="M265" s="75"/>
      <c r="N265" s="75"/>
      <c r="O265" s="75"/>
      <c r="P265" s="75"/>
      <c r="Q265" s="75"/>
      <c r="R265" s="75"/>
      <c r="S265" s="75"/>
      <c r="T265" s="99">
        <v>0.2044</v>
      </c>
    </row>
    <row r="266" spans="1:28" hidden="1" outlineLevel="1">
      <c r="A266" s="35" t="s">
        <v>96</v>
      </c>
    </row>
    <row r="267" spans="1:28" hidden="1" outlineLevel="1">
      <c r="A267" s="76" t="s">
        <v>616</v>
      </c>
    </row>
    <row r="268" spans="1:28" hidden="1" outlineLevel="1">
      <c r="A268" s="76" t="s">
        <v>617</v>
      </c>
    </row>
    <row r="269" spans="1:28" hidden="1" outlineLevel="1"/>
    <row r="270" spans="1:28" hidden="1" outlineLevel="1"/>
    <row r="271" spans="1:28" hidden="1" outlineLevel="1">
      <c r="A271" s="1" t="s">
        <v>102</v>
      </c>
    </row>
    <row r="272" spans="1:28" hidden="1" outlineLevel="1">
      <c r="A272" s="179" t="s">
        <v>606</v>
      </c>
    </row>
    <row r="273" spans="1:61" hidden="1" outlineLevel="1">
      <c r="A273" s="130" t="s">
        <v>618</v>
      </c>
    </row>
    <row r="274" spans="1:61" hidden="1" outlineLevel="1">
      <c r="A274" s="9"/>
      <c r="B274" s="9"/>
      <c r="C274" s="9"/>
      <c r="D274" s="9"/>
      <c r="E274" s="9"/>
      <c r="F274" s="9"/>
      <c r="G274" s="9"/>
      <c r="H274" s="9"/>
      <c r="I274" s="9"/>
      <c r="J274" s="9"/>
      <c r="K274" s="9"/>
      <c r="L274" s="9"/>
      <c r="M274" s="9"/>
      <c r="N274" s="9"/>
      <c r="O274" s="9"/>
      <c r="P274" s="9"/>
      <c r="Q274" s="9"/>
      <c r="R274" s="9"/>
      <c r="S274" s="9"/>
      <c r="T274" s="183">
        <v>2019</v>
      </c>
    </row>
    <row r="275" spans="1:61" hidden="1" outlineLevel="1">
      <c r="A275" s="8" t="s">
        <v>106</v>
      </c>
      <c r="B275" s="662" t="s">
        <v>103</v>
      </c>
      <c r="C275" s="12"/>
      <c r="D275" s="12"/>
      <c r="E275" s="12"/>
      <c r="F275" s="12"/>
      <c r="G275" s="12"/>
      <c r="H275" s="12"/>
      <c r="I275" s="12"/>
      <c r="J275" s="12"/>
      <c r="K275" s="12"/>
      <c r="L275" s="12"/>
      <c r="M275" s="12"/>
      <c r="N275" s="12"/>
      <c r="O275" s="12"/>
      <c r="P275" s="12"/>
      <c r="Q275" s="12"/>
      <c r="R275" s="12"/>
      <c r="S275" s="12"/>
      <c r="T275" s="11">
        <f>$T$159</f>
        <v>0.81100964558971222</v>
      </c>
    </row>
    <row r="276" spans="1:61" hidden="1" outlineLevel="1">
      <c r="A276"/>
    </row>
    <row r="277" spans="1:61" collapsed="1">
      <c r="A277"/>
    </row>
    <row r="278" spans="1:61">
      <c r="A278" s="759" t="s">
        <v>905</v>
      </c>
      <c r="B278" s="759"/>
      <c r="C278" s="759"/>
      <c r="D278" s="759"/>
      <c r="E278" s="759"/>
      <c r="F278" s="759"/>
      <c r="G278" s="759"/>
      <c r="H278" s="759"/>
      <c r="I278" s="759"/>
      <c r="J278" s="759"/>
      <c r="K278" s="759"/>
      <c r="L278" s="759"/>
      <c r="M278" s="759"/>
      <c r="N278" s="759"/>
      <c r="O278" s="759"/>
      <c r="P278" s="759"/>
      <c r="Q278" s="759"/>
      <c r="R278" s="759"/>
      <c r="S278" s="759"/>
      <c r="T278" s="759"/>
      <c r="U278" s="759"/>
      <c r="V278" s="759"/>
    </row>
    <row r="279" spans="1:61" s="592" customFormat="1">
      <c r="A279" s="759"/>
      <c r="B279" s="759"/>
      <c r="C279" s="759"/>
      <c r="D279" s="759"/>
      <c r="E279" s="759"/>
      <c r="F279" s="759"/>
      <c r="G279" s="759"/>
      <c r="H279" s="759"/>
      <c r="I279" s="759"/>
      <c r="J279" s="759"/>
      <c r="K279" s="759"/>
      <c r="L279" s="759"/>
      <c r="M279" s="759"/>
      <c r="N279" s="759"/>
      <c r="O279" s="759"/>
      <c r="P279" s="759"/>
      <c r="Q279" s="759"/>
      <c r="R279" s="759"/>
      <c r="S279" s="759"/>
      <c r="T279" s="759"/>
      <c r="U279" s="759"/>
      <c r="V279" s="759"/>
    </row>
    <row r="280" spans="1:61">
      <c r="A280" s="774" t="s">
        <v>611</v>
      </c>
      <c r="B280" s="774"/>
      <c r="C280" s="774"/>
      <c r="D280" s="774"/>
      <c r="E280" s="774"/>
      <c r="F280" s="774"/>
      <c r="G280" s="774"/>
      <c r="H280" s="774"/>
      <c r="I280" s="774"/>
      <c r="J280" s="774"/>
      <c r="K280" s="774"/>
      <c r="L280" s="774"/>
      <c r="M280" s="774"/>
      <c r="N280" s="774"/>
      <c r="O280" s="774"/>
      <c r="P280" s="774"/>
      <c r="Q280" s="774"/>
      <c r="R280" s="774"/>
      <c r="S280" s="774"/>
      <c r="T280" s="774"/>
      <c r="U280" s="774"/>
      <c r="V280" s="774"/>
    </row>
    <row r="281" spans="1:61" s="592" customFormat="1">
      <c r="A281" s="774"/>
      <c r="B281" s="774"/>
      <c r="C281" s="774"/>
      <c r="D281" s="774"/>
      <c r="E281" s="774"/>
      <c r="F281" s="774"/>
      <c r="G281" s="774"/>
      <c r="H281" s="774"/>
      <c r="I281" s="774"/>
      <c r="J281" s="774"/>
      <c r="K281" s="774"/>
      <c r="L281" s="774"/>
      <c r="M281" s="774"/>
      <c r="N281" s="774"/>
      <c r="O281" s="774"/>
      <c r="P281" s="774"/>
      <c r="Q281" s="774"/>
      <c r="R281" s="774"/>
      <c r="S281" s="774"/>
      <c r="T281" s="774"/>
      <c r="U281" s="774"/>
      <c r="V281" s="774"/>
    </row>
    <row r="282" spans="1:61" s="195" customFormat="1">
      <c r="A282" s="754" t="s">
        <v>619</v>
      </c>
      <c r="B282" s="754"/>
      <c r="C282" s="754"/>
      <c r="D282" s="754"/>
      <c r="E282" s="754"/>
      <c r="F282" s="754"/>
      <c r="G282" s="754"/>
      <c r="H282" s="754"/>
      <c r="I282" s="754"/>
      <c r="J282" s="754"/>
      <c r="K282" s="754"/>
      <c r="L282" s="754"/>
      <c r="M282" s="754"/>
      <c r="N282" s="754"/>
      <c r="O282" s="754"/>
      <c r="P282" s="754"/>
      <c r="Q282" s="754"/>
      <c r="R282" s="754"/>
      <c r="S282" s="754"/>
      <c r="T282" s="754"/>
      <c r="U282" s="754"/>
      <c r="V282" s="754"/>
    </row>
    <row r="283" spans="1:61" s="592" customFormat="1">
      <c r="A283" s="790"/>
      <c r="B283" s="790"/>
      <c r="C283" s="790"/>
      <c r="D283" s="790"/>
      <c r="E283" s="790"/>
      <c r="F283" s="790"/>
      <c r="G283" s="790"/>
      <c r="H283" s="790"/>
      <c r="I283" s="790"/>
      <c r="J283" s="790"/>
      <c r="K283" s="790"/>
      <c r="L283" s="790"/>
      <c r="M283" s="790"/>
      <c r="N283" s="790"/>
      <c r="O283" s="790"/>
      <c r="P283" s="790"/>
      <c r="Q283" s="790"/>
      <c r="R283" s="790"/>
      <c r="S283" s="790"/>
      <c r="T283" s="790"/>
      <c r="U283" s="790"/>
      <c r="V283" s="790"/>
    </row>
    <row r="284" spans="1:61" s="515" customFormat="1">
      <c r="A284" s="757" t="s">
        <v>868</v>
      </c>
      <c r="B284" s="663" t="s">
        <v>309</v>
      </c>
      <c r="C284" s="649"/>
      <c r="D284" s="649"/>
      <c r="E284" s="649"/>
      <c r="F284" s="649"/>
      <c r="G284" s="649"/>
      <c r="H284" s="649"/>
      <c r="I284" s="649"/>
      <c r="J284" s="649"/>
      <c r="K284" s="649"/>
      <c r="L284" s="649"/>
      <c r="M284" s="649"/>
      <c r="N284" s="649"/>
      <c r="O284" s="649"/>
      <c r="P284" s="652"/>
      <c r="Q284" s="6"/>
      <c r="R284" s="6"/>
      <c r="S284" s="6"/>
      <c r="T284" s="6">
        <v>2020</v>
      </c>
      <c r="U284" s="6">
        <f>T284+1</f>
        <v>2021</v>
      </c>
      <c r="V284" s="6">
        <f t="shared" ref="V284:BI284" si="50">U284+1</f>
        <v>2022</v>
      </c>
      <c r="W284" s="6">
        <f t="shared" si="50"/>
        <v>2023</v>
      </c>
      <c r="X284" s="6">
        <f t="shared" si="50"/>
        <v>2024</v>
      </c>
      <c r="Y284" s="6">
        <f t="shared" si="50"/>
        <v>2025</v>
      </c>
      <c r="Z284" s="6">
        <f t="shared" si="50"/>
        <v>2026</v>
      </c>
      <c r="AA284" s="6">
        <f t="shared" si="50"/>
        <v>2027</v>
      </c>
      <c r="AB284" s="6">
        <f t="shared" si="50"/>
        <v>2028</v>
      </c>
      <c r="AC284" s="6">
        <f t="shared" si="50"/>
        <v>2029</v>
      </c>
      <c r="AD284" s="6">
        <f t="shared" si="50"/>
        <v>2030</v>
      </c>
      <c r="AE284" s="6">
        <f t="shared" si="50"/>
        <v>2031</v>
      </c>
      <c r="AF284" s="6">
        <f t="shared" si="50"/>
        <v>2032</v>
      </c>
      <c r="AG284" s="6">
        <f t="shared" si="50"/>
        <v>2033</v>
      </c>
      <c r="AH284" s="6">
        <f t="shared" si="50"/>
        <v>2034</v>
      </c>
      <c r="AI284" s="6">
        <f t="shared" si="50"/>
        <v>2035</v>
      </c>
      <c r="AJ284" s="6">
        <f t="shared" si="50"/>
        <v>2036</v>
      </c>
      <c r="AK284" s="6">
        <f t="shared" si="50"/>
        <v>2037</v>
      </c>
      <c r="AL284" s="6">
        <f t="shared" si="50"/>
        <v>2038</v>
      </c>
      <c r="AM284" s="6">
        <f t="shared" si="50"/>
        <v>2039</v>
      </c>
      <c r="AN284" s="6">
        <f t="shared" si="50"/>
        <v>2040</v>
      </c>
      <c r="AO284" s="6">
        <f t="shared" si="50"/>
        <v>2041</v>
      </c>
      <c r="AP284" s="6">
        <f t="shared" si="50"/>
        <v>2042</v>
      </c>
      <c r="AQ284" s="6">
        <f t="shared" si="50"/>
        <v>2043</v>
      </c>
      <c r="AR284" s="6">
        <f t="shared" si="50"/>
        <v>2044</v>
      </c>
      <c r="AS284" s="6">
        <f t="shared" si="50"/>
        <v>2045</v>
      </c>
      <c r="AT284" s="6">
        <f t="shared" si="50"/>
        <v>2046</v>
      </c>
      <c r="AU284" s="6">
        <f t="shared" si="50"/>
        <v>2047</v>
      </c>
      <c r="AV284" s="6">
        <f t="shared" si="50"/>
        <v>2048</v>
      </c>
      <c r="AW284" s="6">
        <f t="shared" si="50"/>
        <v>2049</v>
      </c>
      <c r="AX284" s="6">
        <f t="shared" si="50"/>
        <v>2050</v>
      </c>
      <c r="AY284" s="6">
        <f t="shared" si="50"/>
        <v>2051</v>
      </c>
      <c r="AZ284" s="6">
        <f t="shared" si="50"/>
        <v>2052</v>
      </c>
      <c r="BA284" s="6">
        <f t="shared" si="50"/>
        <v>2053</v>
      </c>
      <c r="BB284" s="6">
        <f t="shared" si="50"/>
        <v>2054</v>
      </c>
      <c r="BC284" s="6">
        <f t="shared" si="50"/>
        <v>2055</v>
      </c>
      <c r="BD284" s="6">
        <f t="shared" si="50"/>
        <v>2056</v>
      </c>
      <c r="BE284" s="6">
        <f t="shared" si="50"/>
        <v>2057</v>
      </c>
      <c r="BF284" s="6">
        <f t="shared" si="50"/>
        <v>2058</v>
      </c>
      <c r="BG284" s="6">
        <f t="shared" si="50"/>
        <v>2059</v>
      </c>
      <c r="BH284" s="6">
        <f t="shared" si="50"/>
        <v>2060</v>
      </c>
      <c r="BI284" s="6">
        <f t="shared" si="50"/>
        <v>2061</v>
      </c>
    </row>
    <row r="285" spans="1:61">
      <c r="A285" s="758"/>
      <c r="B285" s="664" t="s">
        <v>510</v>
      </c>
      <c r="C285" s="659"/>
      <c r="D285" s="659"/>
      <c r="E285" s="659"/>
      <c r="F285" s="659"/>
      <c r="G285" s="659"/>
      <c r="H285" s="659"/>
      <c r="I285" s="659"/>
      <c r="J285" s="659"/>
      <c r="K285" s="659"/>
      <c r="L285" s="659"/>
      <c r="M285" s="659"/>
      <c r="N285" s="659"/>
      <c r="O285" s="659"/>
      <c r="P285" s="665"/>
      <c r="Q285" s="661">
        <f>DATE(2016,12,31)</f>
        <v>42735</v>
      </c>
      <c r="R285" s="661">
        <f>DATE(YEAR(Q285+1),12,31)</f>
        <v>43100</v>
      </c>
      <c r="S285" s="661">
        <f t="shared" ref="S285" si="51">DATE(YEAR(R285+1),12,31)</f>
        <v>43465</v>
      </c>
      <c r="T285" s="661">
        <f>DATE(YEAR(S285+1),12,31)</f>
        <v>43830</v>
      </c>
      <c r="U285" s="661">
        <f t="shared" ref="U285:BI285" si="52">DATE(YEAR(T285+1),12,31)</f>
        <v>44196</v>
      </c>
      <c r="V285" s="661">
        <f t="shared" si="52"/>
        <v>44561</v>
      </c>
      <c r="W285" s="661">
        <f t="shared" si="52"/>
        <v>44926</v>
      </c>
      <c r="X285" s="661">
        <f t="shared" si="52"/>
        <v>45291</v>
      </c>
      <c r="Y285" s="661">
        <f t="shared" si="52"/>
        <v>45657</v>
      </c>
      <c r="Z285" s="661">
        <f t="shared" si="52"/>
        <v>46022</v>
      </c>
      <c r="AA285" s="661">
        <f t="shared" si="52"/>
        <v>46387</v>
      </c>
      <c r="AB285" s="661">
        <f t="shared" si="52"/>
        <v>46752</v>
      </c>
      <c r="AC285" s="661">
        <f t="shared" si="52"/>
        <v>47118</v>
      </c>
      <c r="AD285" s="661">
        <f t="shared" si="52"/>
        <v>47483</v>
      </c>
      <c r="AE285" s="661">
        <f t="shared" si="52"/>
        <v>47848</v>
      </c>
      <c r="AF285" s="661">
        <f t="shared" si="52"/>
        <v>48213</v>
      </c>
      <c r="AG285" s="661">
        <f t="shared" si="52"/>
        <v>48579</v>
      </c>
      <c r="AH285" s="661">
        <f t="shared" si="52"/>
        <v>48944</v>
      </c>
      <c r="AI285" s="661">
        <f t="shared" si="52"/>
        <v>49309</v>
      </c>
      <c r="AJ285" s="661">
        <f t="shared" si="52"/>
        <v>49674</v>
      </c>
      <c r="AK285" s="661">
        <f t="shared" si="52"/>
        <v>50040</v>
      </c>
      <c r="AL285" s="661">
        <f t="shared" si="52"/>
        <v>50405</v>
      </c>
      <c r="AM285" s="661">
        <f t="shared" si="52"/>
        <v>50770</v>
      </c>
      <c r="AN285" s="661">
        <f t="shared" si="52"/>
        <v>51135</v>
      </c>
      <c r="AO285" s="661">
        <f t="shared" si="52"/>
        <v>51501</v>
      </c>
      <c r="AP285" s="661">
        <f t="shared" si="52"/>
        <v>51866</v>
      </c>
      <c r="AQ285" s="661">
        <f t="shared" si="52"/>
        <v>52231</v>
      </c>
      <c r="AR285" s="661">
        <f t="shared" si="52"/>
        <v>52596</v>
      </c>
      <c r="AS285" s="661">
        <f t="shared" si="52"/>
        <v>52962</v>
      </c>
      <c r="AT285" s="661">
        <f t="shared" si="52"/>
        <v>53327</v>
      </c>
      <c r="AU285" s="661">
        <f t="shared" si="52"/>
        <v>53692</v>
      </c>
      <c r="AV285" s="661">
        <f t="shared" si="52"/>
        <v>54057</v>
      </c>
      <c r="AW285" s="661">
        <f t="shared" si="52"/>
        <v>54423</v>
      </c>
      <c r="AX285" s="661">
        <f t="shared" si="52"/>
        <v>54788</v>
      </c>
      <c r="AY285" s="661">
        <f t="shared" si="52"/>
        <v>55153</v>
      </c>
      <c r="AZ285" s="661">
        <f t="shared" si="52"/>
        <v>55518</v>
      </c>
      <c r="BA285" s="661">
        <f t="shared" si="52"/>
        <v>55884</v>
      </c>
      <c r="BB285" s="661">
        <f t="shared" si="52"/>
        <v>56249</v>
      </c>
      <c r="BC285" s="661">
        <f t="shared" si="52"/>
        <v>56614</v>
      </c>
      <c r="BD285" s="661">
        <f t="shared" si="52"/>
        <v>56979</v>
      </c>
      <c r="BE285" s="661">
        <f t="shared" si="52"/>
        <v>57345</v>
      </c>
      <c r="BF285" s="661">
        <f t="shared" si="52"/>
        <v>57710</v>
      </c>
      <c r="BG285" s="661">
        <f t="shared" si="52"/>
        <v>58075</v>
      </c>
      <c r="BH285" s="661">
        <f t="shared" si="52"/>
        <v>58440</v>
      </c>
      <c r="BI285" s="661">
        <f t="shared" si="52"/>
        <v>58806</v>
      </c>
    </row>
    <row r="286" spans="1:61" ht="60">
      <c r="A286" s="8" t="s">
        <v>866</v>
      </c>
      <c r="B286" s="110" t="s">
        <v>25</v>
      </c>
      <c r="C286" s="13"/>
      <c r="D286" s="13"/>
      <c r="E286" s="13"/>
      <c r="F286" s="13"/>
      <c r="G286" s="13"/>
      <c r="H286" s="13"/>
      <c r="I286" s="13"/>
      <c r="J286" s="13"/>
      <c r="K286" s="13"/>
      <c r="L286" s="13"/>
      <c r="M286" s="13"/>
      <c r="N286" s="13"/>
      <c r="O286" s="13"/>
      <c r="P286" s="13"/>
      <c r="Q286" s="78"/>
      <c r="R286" s="78"/>
      <c r="S286" s="78"/>
      <c r="T286" s="185">
        <f>($T$275+(T$265*$Q239))*$T$256*$X$256</f>
        <v>0.85870297892304559</v>
      </c>
      <c r="U286" s="188">
        <f>$T286*U$215</f>
        <v>0.88789888020642915</v>
      </c>
      <c r="V286" s="10">
        <f t="shared" ref="V286:BI289" si="53">$T286*V$215</f>
        <v>0.93318172309695691</v>
      </c>
      <c r="W286" s="10">
        <f t="shared" si="53"/>
        <v>1.0675598912229189</v>
      </c>
      <c r="X286" s="10">
        <f t="shared" si="53"/>
        <v>1.1892617188223316</v>
      </c>
      <c r="Y286" s="10">
        <f t="shared" si="53"/>
        <v>1.1892617188223316</v>
      </c>
      <c r="Z286" s="10">
        <f t="shared" si="53"/>
        <v>1.1892617188223316</v>
      </c>
      <c r="AA286" s="10">
        <f t="shared" si="53"/>
        <v>1.1892617188223316</v>
      </c>
      <c r="AB286" s="10">
        <f t="shared" si="53"/>
        <v>1.1892617188223316</v>
      </c>
      <c r="AC286" s="10">
        <f t="shared" si="53"/>
        <v>1.1892617188223316</v>
      </c>
      <c r="AD286" s="10">
        <f t="shared" si="53"/>
        <v>1.1892617188223316</v>
      </c>
      <c r="AE286" s="10">
        <f t="shared" si="53"/>
        <v>1.1892617188223316</v>
      </c>
      <c r="AF286" s="10">
        <f t="shared" si="53"/>
        <v>1.1892617188223316</v>
      </c>
      <c r="AG286" s="10">
        <f t="shared" si="53"/>
        <v>1.1892617188223316</v>
      </c>
      <c r="AH286" s="10">
        <f t="shared" si="53"/>
        <v>1.1892617188223316</v>
      </c>
      <c r="AI286" s="10">
        <f t="shared" si="53"/>
        <v>1.1892617188223316</v>
      </c>
      <c r="AJ286" s="10">
        <f t="shared" si="53"/>
        <v>1.1892617188223316</v>
      </c>
      <c r="AK286" s="10">
        <f t="shared" si="53"/>
        <v>1.1892617188223316</v>
      </c>
      <c r="AL286" s="10">
        <f t="shared" si="53"/>
        <v>1.1892617188223316</v>
      </c>
      <c r="AM286" s="10">
        <f t="shared" si="53"/>
        <v>1.1892617188223316</v>
      </c>
      <c r="AN286" s="10">
        <f t="shared" si="53"/>
        <v>1.1892617188223316</v>
      </c>
      <c r="AO286" s="10">
        <f t="shared" si="53"/>
        <v>1.1892617188223316</v>
      </c>
      <c r="AP286" s="10">
        <f t="shared" si="53"/>
        <v>1.1892617188223316</v>
      </c>
      <c r="AQ286" s="10">
        <f t="shared" si="53"/>
        <v>1.1892617188223316</v>
      </c>
      <c r="AR286" s="10">
        <f t="shared" si="53"/>
        <v>1.1892617188223316</v>
      </c>
      <c r="AS286" s="10">
        <f t="shared" si="53"/>
        <v>1.1892617188223316</v>
      </c>
      <c r="AT286" s="10">
        <f t="shared" si="53"/>
        <v>1.1892617188223316</v>
      </c>
      <c r="AU286" s="10">
        <f t="shared" si="53"/>
        <v>1.1892617188223316</v>
      </c>
      <c r="AV286" s="10">
        <f t="shared" si="53"/>
        <v>1.1892617188223316</v>
      </c>
      <c r="AW286" s="10">
        <f t="shared" si="53"/>
        <v>1.1892617188223316</v>
      </c>
      <c r="AX286" s="10">
        <f t="shared" si="53"/>
        <v>1.1892617188223316</v>
      </c>
      <c r="AY286" s="10">
        <f t="shared" si="53"/>
        <v>1.1892617188223316</v>
      </c>
      <c r="AZ286" s="10">
        <f t="shared" si="53"/>
        <v>1.1892617188223316</v>
      </c>
      <c r="BA286" s="10">
        <f t="shared" si="53"/>
        <v>1.1892617188223316</v>
      </c>
      <c r="BB286" s="10">
        <f t="shared" si="53"/>
        <v>1.1892617188223316</v>
      </c>
      <c r="BC286" s="10">
        <f t="shared" si="53"/>
        <v>1.1892617188223316</v>
      </c>
      <c r="BD286" s="10">
        <f t="shared" si="53"/>
        <v>1.1892617188223316</v>
      </c>
      <c r="BE286" s="10">
        <f t="shared" si="53"/>
        <v>1.1892617188223316</v>
      </c>
      <c r="BF286" s="10">
        <f t="shared" si="53"/>
        <v>1.1892617188223316</v>
      </c>
      <c r="BG286" s="10">
        <f t="shared" si="53"/>
        <v>1.1892617188223316</v>
      </c>
      <c r="BH286" s="10">
        <f t="shared" si="53"/>
        <v>1.1892617188223316</v>
      </c>
      <c r="BI286" s="10">
        <f t="shared" si="53"/>
        <v>1.1892617188223316</v>
      </c>
    </row>
    <row r="287" spans="1:61" ht="75">
      <c r="A287" s="8" t="s">
        <v>867</v>
      </c>
      <c r="B287" s="110" t="s">
        <v>25</v>
      </c>
      <c r="C287" s="13"/>
      <c r="D287" s="13"/>
      <c r="E287" s="13"/>
      <c r="F287" s="13"/>
      <c r="G287" s="13"/>
      <c r="H287" s="13"/>
      <c r="I287" s="13"/>
      <c r="J287" s="13"/>
      <c r="K287" s="13"/>
      <c r="L287" s="13"/>
      <c r="M287" s="13"/>
      <c r="N287" s="13"/>
      <c r="O287" s="13"/>
      <c r="P287" s="13"/>
      <c r="Q287" s="78"/>
      <c r="R287" s="78"/>
      <c r="S287" s="78"/>
      <c r="T287" s="185">
        <f>($T$275+(T$265*$Q239))*$T$256*$X$257</f>
        <v>1.0036091066163098</v>
      </c>
      <c r="U287" s="188">
        <f t="shared" ref="U287:U289" si="54">$T287*U$215</f>
        <v>1.0377318162412643</v>
      </c>
      <c r="V287" s="10">
        <f t="shared" si="53"/>
        <v>1.0906561388695686</v>
      </c>
      <c r="W287" s="10">
        <f t="shared" si="53"/>
        <v>1.2477106228667867</v>
      </c>
      <c r="X287" s="10">
        <f t="shared" si="53"/>
        <v>1.3899496338736004</v>
      </c>
      <c r="Y287" s="10">
        <f t="shared" si="53"/>
        <v>1.3899496338736004</v>
      </c>
      <c r="Z287" s="10">
        <f t="shared" si="53"/>
        <v>1.3899496338736004</v>
      </c>
      <c r="AA287" s="10">
        <f t="shared" si="53"/>
        <v>1.3899496338736004</v>
      </c>
      <c r="AB287" s="10">
        <f t="shared" si="53"/>
        <v>1.3899496338736004</v>
      </c>
      <c r="AC287" s="10">
        <f t="shared" si="53"/>
        <v>1.3899496338736004</v>
      </c>
      <c r="AD287" s="10">
        <f t="shared" si="53"/>
        <v>1.3899496338736004</v>
      </c>
      <c r="AE287" s="10">
        <f t="shared" si="53"/>
        <v>1.3899496338736004</v>
      </c>
      <c r="AF287" s="10">
        <f t="shared" si="53"/>
        <v>1.3899496338736004</v>
      </c>
      <c r="AG287" s="10">
        <f t="shared" si="53"/>
        <v>1.3899496338736004</v>
      </c>
      <c r="AH287" s="10">
        <f t="shared" si="53"/>
        <v>1.3899496338736004</v>
      </c>
      <c r="AI287" s="10">
        <f t="shared" si="53"/>
        <v>1.3899496338736004</v>
      </c>
      <c r="AJ287" s="10">
        <f t="shared" si="53"/>
        <v>1.3899496338736004</v>
      </c>
      <c r="AK287" s="10">
        <f t="shared" si="53"/>
        <v>1.3899496338736004</v>
      </c>
      <c r="AL287" s="10">
        <f t="shared" si="53"/>
        <v>1.3899496338736004</v>
      </c>
      <c r="AM287" s="10">
        <f t="shared" si="53"/>
        <v>1.3899496338736004</v>
      </c>
      <c r="AN287" s="10">
        <f t="shared" si="53"/>
        <v>1.3899496338736004</v>
      </c>
      <c r="AO287" s="10">
        <f t="shared" si="53"/>
        <v>1.3899496338736004</v>
      </c>
      <c r="AP287" s="10">
        <f t="shared" si="53"/>
        <v>1.3899496338736004</v>
      </c>
      <c r="AQ287" s="10">
        <f t="shared" si="53"/>
        <v>1.3899496338736004</v>
      </c>
      <c r="AR287" s="10">
        <f t="shared" si="53"/>
        <v>1.3899496338736004</v>
      </c>
      <c r="AS287" s="10">
        <f t="shared" si="53"/>
        <v>1.3899496338736004</v>
      </c>
      <c r="AT287" s="10">
        <f t="shared" si="53"/>
        <v>1.3899496338736004</v>
      </c>
      <c r="AU287" s="10">
        <f t="shared" si="53"/>
        <v>1.3899496338736004</v>
      </c>
      <c r="AV287" s="10">
        <f t="shared" si="53"/>
        <v>1.3899496338736004</v>
      </c>
      <c r="AW287" s="10">
        <f t="shared" si="53"/>
        <v>1.3899496338736004</v>
      </c>
      <c r="AX287" s="10">
        <f t="shared" si="53"/>
        <v>1.3899496338736004</v>
      </c>
      <c r="AY287" s="10">
        <f t="shared" si="53"/>
        <v>1.3899496338736004</v>
      </c>
      <c r="AZ287" s="10">
        <f t="shared" si="53"/>
        <v>1.3899496338736004</v>
      </c>
      <c r="BA287" s="10">
        <f t="shared" si="53"/>
        <v>1.3899496338736004</v>
      </c>
      <c r="BB287" s="10">
        <f t="shared" si="53"/>
        <v>1.3899496338736004</v>
      </c>
      <c r="BC287" s="10">
        <f t="shared" si="53"/>
        <v>1.3899496338736004</v>
      </c>
      <c r="BD287" s="10">
        <f t="shared" si="53"/>
        <v>1.3899496338736004</v>
      </c>
      <c r="BE287" s="10">
        <f t="shared" si="53"/>
        <v>1.3899496338736004</v>
      </c>
      <c r="BF287" s="10">
        <f t="shared" si="53"/>
        <v>1.3899496338736004</v>
      </c>
      <c r="BG287" s="10">
        <f t="shared" si="53"/>
        <v>1.3899496338736004</v>
      </c>
      <c r="BH287" s="10">
        <f t="shared" si="53"/>
        <v>1.3899496338736004</v>
      </c>
      <c r="BI287" s="10">
        <f t="shared" si="53"/>
        <v>1.3899496338736004</v>
      </c>
    </row>
    <row r="288" spans="1:61" s="734" customFormat="1" ht="60">
      <c r="A288" s="8" t="s">
        <v>869</v>
      </c>
      <c r="B288" s="110" t="s">
        <v>25</v>
      </c>
      <c r="C288" s="13"/>
      <c r="D288" s="13"/>
      <c r="E288" s="13"/>
      <c r="F288" s="13"/>
      <c r="G288" s="13"/>
      <c r="H288" s="13"/>
      <c r="I288" s="13"/>
      <c r="J288" s="13"/>
      <c r="K288" s="13"/>
      <c r="L288" s="13"/>
      <c r="M288" s="13"/>
      <c r="N288" s="13"/>
      <c r="O288" s="13"/>
      <c r="P288" s="13"/>
      <c r="Q288" s="78"/>
      <c r="R288" s="78"/>
      <c r="S288" s="78"/>
      <c r="T288" s="185">
        <f>($T$275+(T$265*$Q239))*$T$257*$X$256</f>
        <v>0.88589321488755757</v>
      </c>
      <c r="U288" s="188">
        <f t="shared" si="54"/>
        <v>0.91601358419373458</v>
      </c>
      <c r="V288" s="10">
        <f t="shared" si="53"/>
        <v>0.96273027698761482</v>
      </c>
      <c r="W288" s="10">
        <f t="shared" si="53"/>
        <v>1.1013634368738316</v>
      </c>
      <c r="X288" s="10">
        <f t="shared" si="53"/>
        <v>1.2269188686774484</v>
      </c>
      <c r="Y288" s="10">
        <f t="shared" si="53"/>
        <v>1.2269188686774484</v>
      </c>
      <c r="Z288" s="10">
        <f t="shared" si="53"/>
        <v>1.2269188686774484</v>
      </c>
      <c r="AA288" s="10">
        <f t="shared" si="53"/>
        <v>1.2269188686774484</v>
      </c>
      <c r="AB288" s="10">
        <f t="shared" si="53"/>
        <v>1.2269188686774484</v>
      </c>
      <c r="AC288" s="10">
        <f t="shared" si="53"/>
        <v>1.2269188686774484</v>
      </c>
      <c r="AD288" s="10">
        <f t="shared" si="53"/>
        <v>1.2269188686774484</v>
      </c>
      <c r="AE288" s="10">
        <f t="shared" si="53"/>
        <v>1.2269188686774484</v>
      </c>
      <c r="AF288" s="10">
        <f t="shared" si="53"/>
        <v>1.2269188686774484</v>
      </c>
      <c r="AG288" s="10">
        <f t="shared" si="53"/>
        <v>1.2269188686774484</v>
      </c>
      <c r="AH288" s="10">
        <f t="shared" si="53"/>
        <v>1.2269188686774484</v>
      </c>
      <c r="AI288" s="10">
        <f t="shared" si="53"/>
        <v>1.2269188686774484</v>
      </c>
      <c r="AJ288" s="10">
        <f t="shared" si="53"/>
        <v>1.2269188686774484</v>
      </c>
      <c r="AK288" s="10">
        <f t="shared" si="53"/>
        <v>1.2269188686774484</v>
      </c>
      <c r="AL288" s="10">
        <f t="shared" si="53"/>
        <v>1.2269188686774484</v>
      </c>
      <c r="AM288" s="10">
        <f t="shared" si="53"/>
        <v>1.2269188686774484</v>
      </c>
      <c r="AN288" s="10">
        <f t="shared" si="53"/>
        <v>1.2269188686774484</v>
      </c>
      <c r="AO288" s="10">
        <f t="shared" si="53"/>
        <v>1.2269188686774484</v>
      </c>
      <c r="AP288" s="10">
        <f t="shared" si="53"/>
        <v>1.2269188686774484</v>
      </c>
      <c r="AQ288" s="10">
        <f t="shared" si="53"/>
        <v>1.2269188686774484</v>
      </c>
      <c r="AR288" s="10">
        <f t="shared" si="53"/>
        <v>1.2269188686774484</v>
      </c>
      <c r="AS288" s="10">
        <f t="shared" si="53"/>
        <v>1.2269188686774484</v>
      </c>
      <c r="AT288" s="10">
        <f t="shared" si="53"/>
        <v>1.2269188686774484</v>
      </c>
      <c r="AU288" s="10">
        <f t="shared" si="53"/>
        <v>1.2269188686774484</v>
      </c>
      <c r="AV288" s="10">
        <f t="shared" si="53"/>
        <v>1.2269188686774484</v>
      </c>
      <c r="AW288" s="10">
        <f t="shared" si="53"/>
        <v>1.2269188686774484</v>
      </c>
      <c r="AX288" s="10">
        <f t="shared" si="53"/>
        <v>1.2269188686774484</v>
      </c>
      <c r="AY288" s="10">
        <f t="shared" si="53"/>
        <v>1.2269188686774484</v>
      </c>
      <c r="AZ288" s="10">
        <f t="shared" si="53"/>
        <v>1.2269188686774484</v>
      </c>
      <c r="BA288" s="10">
        <f t="shared" si="53"/>
        <v>1.2269188686774484</v>
      </c>
      <c r="BB288" s="10">
        <f t="shared" si="53"/>
        <v>1.2269188686774484</v>
      </c>
      <c r="BC288" s="10">
        <f t="shared" si="53"/>
        <v>1.2269188686774484</v>
      </c>
      <c r="BD288" s="10">
        <f t="shared" si="53"/>
        <v>1.2269188686774484</v>
      </c>
      <c r="BE288" s="10">
        <f t="shared" si="53"/>
        <v>1.2269188686774484</v>
      </c>
      <c r="BF288" s="10">
        <f t="shared" si="53"/>
        <v>1.2269188686774484</v>
      </c>
      <c r="BG288" s="10">
        <f t="shared" si="53"/>
        <v>1.2269188686774484</v>
      </c>
      <c r="BH288" s="10">
        <f t="shared" si="53"/>
        <v>1.2269188686774484</v>
      </c>
      <c r="BI288" s="10">
        <f t="shared" si="53"/>
        <v>1.2269188686774484</v>
      </c>
    </row>
    <row r="289" spans="1:61" s="734" customFormat="1" ht="75">
      <c r="A289" s="8" t="s">
        <v>870</v>
      </c>
      <c r="B289" s="110" t="s">
        <v>25</v>
      </c>
      <c r="C289" s="13"/>
      <c r="D289" s="13"/>
      <c r="E289" s="13"/>
      <c r="F289" s="13"/>
      <c r="G289" s="13"/>
      <c r="H289" s="13"/>
      <c r="I289" s="13"/>
      <c r="J289" s="13"/>
      <c r="K289" s="13"/>
      <c r="L289" s="13"/>
      <c r="M289" s="13"/>
      <c r="N289" s="13"/>
      <c r="O289" s="13"/>
      <c r="P289" s="13"/>
      <c r="Q289" s="78"/>
      <c r="R289" s="78"/>
      <c r="S289" s="78"/>
      <c r="T289" s="185">
        <f>($T$275+(T$265*$Q239))*$T$257*$X$257</f>
        <v>1.0353876948998331</v>
      </c>
      <c r="U289" s="188">
        <f t="shared" si="54"/>
        <v>1.0705908765264274</v>
      </c>
      <c r="V289" s="10">
        <f t="shared" si="53"/>
        <v>1.1251910112292751</v>
      </c>
      <c r="W289" s="10">
        <f t="shared" si="53"/>
        <v>1.2872185168462908</v>
      </c>
      <c r="X289" s="10">
        <f t="shared" si="53"/>
        <v>1.433961427766768</v>
      </c>
      <c r="Y289" s="10">
        <f t="shared" si="53"/>
        <v>1.433961427766768</v>
      </c>
      <c r="Z289" s="10">
        <f t="shared" si="53"/>
        <v>1.433961427766768</v>
      </c>
      <c r="AA289" s="10">
        <f t="shared" si="53"/>
        <v>1.433961427766768</v>
      </c>
      <c r="AB289" s="10">
        <f t="shared" si="53"/>
        <v>1.433961427766768</v>
      </c>
      <c r="AC289" s="10">
        <f t="shared" si="53"/>
        <v>1.433961427766768</v>
      </c>
      <c r="AD289" s="10">
        <f t="shared" si="53"/>
        <v>1.433961427766768</v>
      </c>
      <c r="AE289" s="10">
        <f t="shared" si="53"/>
        <v>1.433961427766768</v>
      </c>
      <c r="AF289" s="10">
        <f t="shared" si="53"/>
        <v>1.433961427766768</v>
      </c>
      <c r="AG289" s="10">
        <f t="shared" si="53"/>
        <v>1.433961427766768</v>
      </c>
      <c r="AH289" s="10">
        <f t="shared" si="53"/>
        <v>1.433961427766768</v>
      </c>
      <c r="AI289" s="10">
        <f t="shared" si="53"/>
        <v>1.433961427766768</v>
      </c>
      <c r="AJ289" s="10">
        <f t="shared" si="53"/>
        <v>1.433961427766768</v>
      </c>
      <c r="AK289" s="10">
        <f t="shared" si="53"/>
        <v>1.433961427766768</v>
      </c>
      <c r="AL289" s="10">
        <f t="shared" si="53"/>
        <v>1.433961427766768</v>
      </c>
      <c r="AM289" s="10">
        <f t="shared" si="53"/>
        <v>1.433961427766768</v>
      </c>
      <c r="AN289" s="10">
        <f t="shared" si="53"/>
        <v>1.433961427766768</v>
      </c>
      <c r="AO289" s="10">
        <f t="shared" si="53"/>
        <v>1.433961427766768</v>
      </c>
      <c r="AP289" s="10">
        <f t="shared" si="53"/>
        <v>1.433961427766768</v>
      </c>
      <c r="AQ289" s="10">
        <f t="shared" si="53"/>
        <v>1.433961427766768</v>
      </c>
      <c r="AR289" s="10">
        <f t="shared" si="53"/>
        <v>1.433961427766768</v>
      </c>
      <c r="AS289" s="10">
        <f t="shared" si="53"/>
        <v>1.433961427766768</v>
      </c>
      <c r="AT289" s="10">
        <f t="shared" si="53"/>
        <v>1.433961427766768</v>
      </c>
      <c r="AU289" s="10">
        <f t="shared" si="53"/>
        <v>1.433961427766768</v>
      </c>
      <c r="AV289" s="10">
        <f t="shared" si="53"/>
        <v>1.433961427766768</v>
      </c>
      <c r="AW289" s="10">
        <f t="shared" si="53"/>
        <v>1.433961427766768</v>
      </c>
      <c r="AX289" s="10">
        <f t="shared" si="53"/>
        <v>1.433961427766768</v>
      </c>
      <c r="AY289" s="10">
        <f t="shared" si="53"/>
        <v>1.433961427766768</v>
      </c>
      <c r="AZ289" s="10">
        <f t="shared" si="53"/>
        <v>1.433961427766768</v>
      </c>
      <c r="BA289" s="10">
        <f t="shared" si="53"/>
        <v>1.433961427766768</v>
      </c>
      <c r="BB289" s="10">
        <f t="shared" si="53"/>
        <v>1.433961427766768</v>
      </c>
      <c r="BC289" s="10">
        <f t="shared" si="53"/>
        <v>1.433961427766768</v>
      </c>
      <c r="BD289" s="10">
        <f t="shared" si="53"/>
        <v>1.433961427766768</v>
      </c>
      <c r="BE289" s="10">
        <f t="shared" si="53"/>
        <v>1.433961427766768</v>
      </c>
      <c r="BF289" s="10">
        <f t="shared" si="53"/>
        <v>1.433961427766768</v>
      </c>
      <c r="BG289" s="10">
        <f t="shared" si="53"/>
        <v>1.433961427766768</v>
      </c>
      <c r="BH289" s="10">
        <f t="shared" si="53"/>
        <v>1.433961427766768</v>
      </c>
      <c r="BI289" s="10">
        <f t="shared" si="53"/>
        <v>1.433961427766768</v>
      </c>
    </row>
    <row r="290" spans="1:61" s="734" customFormat="1"/>
    <row r="291" spans="1:61"/>
    <row r="292" spans="1:61">
      <c r="A292" s="759" t="s">
        <v>906</v>
      </c>
      <c r="B292" s="759"/>
      <c r="C292" s="759"/>
      <c r="D292" s="759"/>
      <c r="E292" s="759"/>
      <c r="F292" s="759"/>
      <c r="G292" s="759"/>
      <c r="H292" s="759"/>
      <c r="I292" s="759"/>
      <c r="J292" s="759"/>
      <c r="K292" s="759"/>
      <c r="L292" s="759"/>
      <c r="M292" s="759"/>
      <c r="N292" s="759"/>
      <c r="O292" s="759"/>
      <c r="P292" s="759"/>
      <c r="Q292" s="759"/>
      <c r="R292" s="759"/>
      <c r="S292" s="759"/>
      <c r="T292" s="759"/>
      <c r="U292" s="759"/>
      <c r="V292" s="759"/>
    </row>
    <row r="293" spans="1:61" s="592" customFormat="1">
      <c r="A293" s="759"/>
      <c r="B293" s="759"/>
      <c r="C293" s="759"/>
      <c r="D293" s="759"/>
      <c r="E293" s="759"/>
      <c r="F293" s="759"/>
      <c r="G293" s="759"/>
      <c r="H293" s="759"/>
      <c r="I293" s="759"/>
      <c r="J293" s="759"/>
      <c r="K293" s="759"/>
      <c r="L293" s="759"/>
      <c r="M293" s="759"/>
      <c r="N293" s="759"/>
      <c r="O293" s="759"/>
      <c r="P293" s="759"/>
      <c r="Q293" s="759"/>
      <c r="R293" s="759"/>
      <c r="S293" s="759"/>
      <c r="T293" s="759"/>
      <c r="U293" s="759"/>
      <c r="V293" s="759"/>
    </row>
    <row r="294" spans="1:61" s="592" customFormat="1">
      <c r="A294" s="793" t="s">
        <v>620</v>
      </c>
      <c r="B294" s="793"/>
      <c r="C294" s="793"/>
      <c r="D294" s="793"/>
      <c r="E294" s="793"/>
      <c r="F294" s="793"/>
      <c r="G294" s="793"/>
      <c r="H294" s="793"/>
      <c r="I294" s="793"/>
      <c r="J294" s="793"/>
      <c r="K294" s="793"/>
      <c r="L294" s="793"/>
      <c r="M294" s="793"/>
      <c r="N294" s="793"/>
      <c r="O294" s="793"/>
      <c r="P294" s="793"/>
      <c r="Q294" s="793"/>
      <c r="R294" s="793"/>
      <c r="S294" s="793"/>
      <c r="T294" s="793"/>
      <c r="U294" s="793"/>
      <c r="V294" s="793"/>
    </row>
    <row r="295" spans="1:61" s="592" customFormat="1">
      <c r="A295" s="793"/>
      <c r="B295" s="793"/>
      <c r="C295" s="793"/>
      <c r="D295" s="793"/>
      <c r="E295" s="793"/>
      <c r="F295" s="793"/>
      <c r="G295" s="793"/>
      <c r="H295" s="793"/>
      <c r="I295" s="793"/>
      <c r="J295" s="793"/>
      <c r="K295" s="793"/>
      <c r="L295" s="793"/>
      <c r="M295" s="793"/>
      <c r="N295" s="793"/>
      <c r="O295" s="793"/>
      <c r="P295" s="793"/>
      <c r="Q295" s="793"/>
      <c r="R295" s="793"/>
      <c r="S295" s="793"/>
      <c r="T295" s="793"/>
      <c r="U295" s="793"/>
      <c r="V295" s="793"/>
    </row>
    <row r="296" spans="1:61" s="592" customFormat="1" ht="15" customHeight="1">
      <c r="A296" s="791" t="s">
        <v>621</v>
      </c>
      <c r="B296" s="791"/>
      <c r="C296" s="791"/>
      <c r="D296" s="791"/>
      <c r="E296" s="791"/>
      <c r="F296" s="791"/>
      <c r="G296" s="791"/>
      <c r="H296" s="791"/>
      <c r="I296" s="791"/>
      <c r="J296" s="791"/>
      <c r="K296" s="791"/>
      <c r="L296" s="791"/>
      <c r="M296" s="791"/>
      <c r="N296" s="791"/>
      <c r="O296" s="791"/>
      <c r="P296" s="791"/>
      <c r="Q296" s="791"/>
      <c r="R296" s="791"/>
      <c r="S296" s="791"/>
      <c r="T296" s="791"/>
      <c r="U296" s="791"/>
      <c r="V296" s="791"/>
    </row>
    <row r="297" spans="1:61" s="592" customFormat="1">
      <c r="A297" s="791"/>
      <c r="B297" s="791"/>
      <c r="C297" s="791"/>
      <c r="D297" s="791"/>
      <c r="E297" s="791"/>
      <c r="F297" s="791"/>
      <c r="G297" s="791"/>
      <c r="H297" s="791"/>
      <c r="I297" s="791"/>
      <c r="J297" s="791"/>
      <c r="K297" s="791"/>
      <c r="L297" s="791"/>
      <c r="M297" s="791"/>
      <c r="N297" s="791"/>
      <c r="O297" s="791"/>
      <c r="P297" s="791"/>
      <c r="Q297" s="791"/>
      <c r="R297" s="791"/>
      <c r="S297" s="791"/>
      <c r="T297" s="791"/>
      <c r="U297" s="791"/>
      <c r="V297" s="791"/>
    </row>
    <row r="298" spans="1:61" s="592" customFormat="1">
      <c r="A298" s="791"/>
      <c r="B298" s="791"/>
      <c r="C298" s="791"/>
      <c r="D298" s="791"/>
      <c r="E298" s="791"/>
      <c r="F298" s="791"/>
      <c r="G298" s="791"/>
      <c r="H298" s="791"/>
      <c r="I298" s="791"/>
      <c r="J298" s="791"/>
      <c r="K298" s="791"/>
      <c r="L298" s="791"/>
      <c r="M298" s="791"/>
      <c r="N298" s="791"/>
      <c r="O298" s="791"/>
      <c r="P298" s="791"/>
      <c r="Q298" s="791"/>
      <c r="R298" s="791"/>
      <c r="S298" s="791"/>
      <c r="T298" s="791"/>
      <c r="U298" s="791"/>
      <c r="V298" s="791"/>
    </row>
    <row r="299" spans="1:61" s="592" customFormat="1">
      <c r="A299" s="792"/>
      <c r="B299" s="792"/>
      <c r="C299" s="792"/>
      <c r="D299" s="792"/>
      <c r="E299" s="792"/>
      <c r="F299" s="792"/>
      <c r="G299" s="792"/>
      <c r="H299" s="792"/>
      <c r="I299" s="792"/>
      <c r="J299" s="792"/>
      <c r="K299" s="792"/>
      <c r="L299" s="792"/>
      <c r="M299" s="792"/>
      <c r="N299" s="792"/>
      <c r="O299" s="792"/>
      <c r="P299" s="792"/>
      <c r="Q299" s="792"/>
      <c r="R299" s="792"/>
      <c r="S299" s="792"/>
      <c r="T299" s="792"/>
      <c r="U299" s="792"/>
      <c r="V299" s="792"/>
    </row>
    <row r="300" spans="1:61">
      <c r="A300" s="757"/>
      <c r="B300" s="663" t="s">
        <v>309</v>
      </c>
      <c r="C300" s="649"/>
      <c r="D300" s="649"/>
      <c r="E300" s="649"/>
      <c r="F300" s="649"/>
      <c r="G300" s="649"/>
      <c r="H300" s="649"/>
      <c r="I300" s="649"/>
      <c r="J300" s="649"/>
      <c r="K300" s="649"/>
      <c r="L300" s="649"/>
      <c r="M300" s="649"/>
      <c r="N300" s="649"/>
      <c r="O300" s="649"/>
      <c r="P300" s="652"/>
      <c r="Q300" s="6"/>
      <c r="R300" s="6"/>
      <c r="S300" s="6"/>
      <c r="T300" s="6">
        <v>2020</v>
      </c>
      <c r="U300" s="6">
        <f>T300+1</f>
        <v>2021</v>
      </c>
      <c r="V300" s="6">
        <f t="shared" ref="V300" si="55">U300+1</f>
        <v>2022</v>
      </c>
      <c r="W300" s="6">
        <f t="shared" ref="W300" si="56">V300+1</f>
        <v>2023</v>
      </c>
      <c r="X300" s="6">
        <f t="shared" ref="X300" si="57">W300+1</f>
        <v>2024</v>
      </c>
      <c r="Y300" s="6">
        <f t="shared" ref="Y300" si="58">X300+1</f>
        <v>2025</v>
      </c>
      <c r="Z300" s="6">
        <f t="shared" ref="Z300" si="59">Y300+1</f>
        <v>2026</v>
      </c>
      <c r="AA300" s="6">
        <f t="shared" ref="AA300" si="60">Z300+1</f>
        <v>2027</v>
      </c>
      <c r="AB300" s="6">
        <f t="shared" ref="AB300" si="61">AA300+1</f>
        <v>2028</v>
      </c>
      <c r="AC300" s="6">
        <f t="shared" ref="AC300" si="62">AB300+1</f>
        <v>2029</v>
      </c>
      <c r="AD300" s="6">
        <f t="shared" ref="AD300" si="63">AC300+1</f>
        <v>2030</v>
      </c>
      <c r="AE300" s="6">
        <f t="shared" ref="AE300" si="64">AD300+1</f>
        <v>2031</v>
      </c>
      <c r="AF300" s="6">
        <f t="shared" ref="AF300" si="65">AE300+1</f>
        <v>2032</v>
      </c>
      <c r="AG300" s="6">
        <f t="shared" ref="AG300" si="66">AF300+1</f>
        <v>2033</v>
      </c>
      <c r="AH300" s="6">
        <f t="shared" ref="AH300" si="67">AG300+1</f>
        <v>2034</v>
      </c>
      <c r="AI300" s="6">
        <f t="shared" ref="AI300" si="68">AH300+1</f>
        <v>2035</v>
      </c>
      <c r="AJ300" s="6">
        <f t="shared" ref="AJ300" si="69">AI300+1</f>
        <v>2036</v>
      </c>
      <c r="AK300" s="6">
        <f t="shared" ref="AK300" si="70">AJ300+1</f>
        <v>2037</v>
      </c>
      <c r="AL300" s="6">
        <f t="shared" ref="AL300" si="71">AK300+1</f>
        <v>2038</v>
      </c>
      <c r="AM300" s="6">
        <f t="shared" ref="AM300" si="72">AL300+1</f>
        <v>2039</v>
      </c>
      <c r="AN300" s="6">
        <f t="shared" ref="AN300" si="73">AM300+1</f>
        <v>2040</v>
      </c>
      <c r="AO300" s="6">
        <f t="shared" ref="AO300" si="74">AN300+1</f>
        <v>2041</v>
      </c>
      <c r="AP300" s="6">
        <f t="shared" ref="AP300" si="75">AO300+1</f>
        <v>2042</v>
      </c>
      <c r="AQ300" s="6">
        <f t="shared" ref="AQ300" si="76">AP300+1</f>
        <v>2043</v>
      </c>
      <c r="AR300" s="6">
        <f t="shared" ref="AR300" si="77">AQ300+1</f>
        <v>2044</v>
      </c>
      <c r="AS300" s="6">
        <f t="shared" ref="AS300" si="78">AR300+1</f>
        <v>2045</v>
      </c>
      <c r="AT300" s="6">
        <f t="shared" ref="AT300" si="79">AS300+1</f>
        <v>2046</v>
      </c>
      <c r="AU300" s="6">
        <f t="shared" ref="AU300" si="80">AT300+1</f>
        <v>2047</v>
      </c>
      <c r="AV300" s="6">
        <f t="shared" ref="AV300" si="81">AU300+1</f>
        <v>2048</v>
      </c>
      <c r="AW300" s="6">
        <f t="shared" ref="AW300" si="82">AV300+1</f>
        <v>2049</v>
      </c>
      <c r="AX300" s="6">
        <f t="shared" ref="AX300" si="83">AW300+1</f>
        <v>2050</v>
      </c>
      <c r="AY300" s="6">
        <f t="shared" ref="AY300" si="84">AX300+1</f>
        <v>2051</v>
      </c>
      <c r="AZ300" s="6">
        <f t="shared" ref="AZ300" si="85">AY300+1</f>
        <v>2052</v>
      </c>
      <c r="BA300" s="6">
        <f t="shared" ref="BA300" si="86">AZ300+1</f>
        <v>2053</v>
      </c>
      <c r="BB300" s="6">
        <f t="shared" ref="BB300" si="87">BA300+1</f>
        <v>2054</v>
      </c>
      <c r="BC300" s="6">
        <f t="shared" ref="BC300" si="88">BB300+1</f>
        <v>2055</v>
      </c>
      <c r="BD300" s="6">
        <f t="shared" ref="BD300" si="89">BC300+1</f>
        <v>2056</v>
      </c>
      <c r="BE300" s="6">
        <f t="shared" ref="BE300" si="90">BD300+1</f>
        <v>2057</v>
      </c>
      <c r="BF300" s="6">
        <f t="shared" ref="BF300" si="91">BE300+1</f>
        <v>2058</v>
      </c>
      <c r="BG300" s="6">
        <f t="shared" ref="BG300" si="92">BF300+1</f>
        <v>2059</v>
      </c>
      <c r="BH300" s="6">
        <f t="shared" ref="BH300" si="93">BG300+1</f>
        <v>2060</v>
      </c>
      <c r="BI300" s="6">
        <f t="shared" ref="BI300" si="94">BH300+1</f>
        <v>2061</v>
      </c>
    </row>
    <row r="301" spans="1:61">
      <c r="A301" s="758"/>
      <c r="B301" s="664" t="s">
        <v>510</v>
      </c>
      <c r="C301" s="659"/>
      <c r="D301" s="659"/>
      <c r="E301" s="659"/>
      <c r="F301" s="659"/>
      <c r="G301" s="659"/>
      <c r="H301" s="659"/>
      <c r="I301" s="659"/>
      <c r="J301" s="659"/>
      <c r="K301" s="659"/>
      <c r="L301" s="659"/>
      <c r="M301" s="659"/>
      <c r="N301" s="659"/>
      <c r="O301" s="659"/>
      <c r="P301" s="665"/>
      <c r="Q301" s="661">
        <f>DATE(2016,12,31)</f>
        <v>42735</v>
      </c>
      <c r="R301" s="661">
        <f>DATE(YEAR(Q301+1),12,31)</f>
        <v>43100</v>
      </c>
      <c r="S301" s="661">
        <f t="shared" ref="S301" si="95">DATE(YEAR(R301+1),12,31)</f>
        <v>43465</v>
      </c>
      <c r="T301" s="661">
        <f>DATE(YEAR(S301+1),12,31)</f>
        <v>43830</v>
      </c>
      <c r="U301" s="661">
        <f t="shared" ref="U301:BI301" si="96">DATE(YEAR(T301+1),12,31)</f>
        <v>44196</v>
      </c>
      <c r="V301" s="661">
        <f t="shared" si="96"/>
        <v>44561</v>
      </c>
      <c r="W301" s="661">
        <f t="shared" si="96"/>
        <v>44926</v>
      </c>
      <c r="X301" s="661">
        <f t="shared" si="96"/>
        <v>45291</v>
      </c>
      <c r="Y301" s="661">
        <f t="shared" si="96"/>
        <v>45657</v>
      </c>
      <c r="Z301" s="661">
        <f t="shared" si="96"/>
        <v>46022</v>
      </c>
      <c r="AA301" s="661">
        <f t="shared" si="96"/>
        <v>46387</v>
      </c>
      <c r="AB301" s="661">
        <f t="shared" si="96"/>
        <v>46752</v>
      </c>
      <c r="AC301" s="661">
        <f t="shared" si="96"/>
        <v>47118</v>
      </c>
      <c r="AD301" s="661">
        <f t="shared" si="96"/>
        <v>47483</v>
      </c>
      <c r="AE301" s="661">
        <f t="shared" si="96"/>
        <v>47848</v>
      </c>
      <c r="AF301" s="661">
        <f t="shared" si="96"/>
        <v>48213</v>
      </c>
      <c r="AG301" s="661">
        <f t="shared" si="96"/>
        <v>48579</v>
      </c>
      <c r="AH301" s="661">
        <f t="shared" si="96"/>
        <v>48944</v>
      </c>
      <c r="AI301" s="661">
        <f t="shared" si="96"/>
        <v>49309</v>
      </c>
      <c r="AJ301" s="661">
        <f t="shared" si="96"/>
        <v>49674</v>
      </c>
      <c r="AK301" s="661">
        <f t="shared" si="96"/>
        <v>50040</v>
      </c>
      <c r="AL301" s="661">
        <f t="shared" si="96"/>
        <v>50405</v>
      </c>
      <c r="AM301" s="661">
        <f t="shared" si="96"/>
        <v>50770</v>
      </c>
      <c r="AN301" s="661">
        <f t="shared" si="96"/>
        <v>51135</v>
      </c>
      <c r="AO301" s="661">
        <f t="shared" si="96"/>
        <v>51501</v>
      </c>
      <c r="AP301" s="661">
        <f t="shared" si="96"/>
        <v>51866</v>
      </c>
      <c r="AQ301" s="661">
        <f t="shared" si="96"/>
        <v>52231</v>
      </c>
      <c r="AR301" s="661">
        <f t="shared" si="96"/>
        <v>52596</v>
      </c>
      <c r="AS301" s="661">
        <f t="shared" si="96"/>
        <v>52962</v>
      </c>
      <c r="AT301" s="661">
        <f t="shared" si="96"/>
        <v>53327</v>
      </c>
      <c r="AU301" s="661">
        <f t="shared" si="96"/>
        <v>53692</v>
      </c>
      <c r="AV301" s="661">
        <f t="shared" si="96"/>
        <v>54057</v>
      </c>
      <c r="AW301" s="661">
        <f t="shared" si="96"/>
        <v>54423</v>
      </c>
      <c r="AX301" s="661">
        <f t="shared" si="96"/>
        <v>54788</v>
      </c>
      <c r="AY301" s="661">
        <f t="shared" si="96"/>
        <v>55153</v>
      </c>
      <c r="AZ301" s="661">
        <f t="shared" si="96"/>
        <v>55518</v>
      </c>
      <c r="BA301" s="661">
        <f t="shared" si="96"/>
        <v>55884</v>
      </c>
      <c r="BB301" s="661">
        <f t="shared" si="96"/>
        <v>56249</v>
      </c>
      <c r="BC301" s="661">
        <f t="shared" si="96"/>
        <v>56614</v>
      </c>
      <c r="BD301" s="661">
        <f t="shared" si="96"/>
        <v>56979</v>
      </c>
      <c r="BE301" s="661">
        <f t="shared" si="96"/>
        <v>57345</v>
      </c>
      <c r="BF301" s="661">
        <f t="shared" si="96"/>
        <v>57710</v>
      </c>
      <c r="BG301" s="661">
        <f t="shared" si="96"/>
        <v>58075</v>
      </c>
      <c r="BH301" s="661">
        <f t="shared" si="96"/>
        <v>58440</v>
      </c>
      <c r="BI301" s="661">
        <f t="shared" si="96"/>
        <v>58806</v>
      </c>
    </row>
    <row r="302" spans="1:61" s="592" customFormat="1" ht="30">
      <c r="A302" s="648" t="s">
        <v>513</v>
      </c>
      <c r="B302" s="663"/>
      <c r="C302" s="649"/>
      <c r="D302" s="649"/>
      <c r="E302" s="649"/>
      <c r="F302" s="649"/>
      <c r="G302" s="649"/>
      <c r="H302" s="649"/>
      <c r="I302" s="649"/>
      <c r="J302" s="649"/>
      <c r="K302" s="649"/>
      <c r="L302" s="649"/>
      <c r="M302" s="649"/>
      <c r="N302" s="649"/>
      <c r="O302" s="649"/>
      <c r="P302" s="652"/>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row>
    <row r="303" spans="1:61" s="592" customFormat="1">
      <c r="A303" s="8" t="str">
        <f t="shared" ref="A303:A316" si="97">"Prędkość "&amp;$S173&amp;" km/h"</f>
        <v>Prędkość 0,00÷9,99 km/h</v>
      </c>
      <c r="B303" s="110" t="s">
        <v>25</v>
      </c>
      <c r="C303" s="13"/>
      <c r="D303" s="13"/>
      <c r="E303" s="13"/>
      <c r="F303" s="13"/>
      <c r="G303" s="13"/>
      <c r="H303" s="13"/>
      <c r="I303" s="13"/>
      <c r="J303" s="13"/>
      <c r="K303" s="13"/>
      <c r="L303" s="13"/>
      <c r="M303" s="13"/>
      <c r="N303" s="13"/>
      <c r="O303" s="13"/>
      <c r="P303" s="13"/>
      <c r="Q303" s="78"/>
      <c r="R303" s="78"/>
      <c r="S303" s="78"/>
      <c r="T303" s="10">
        <f t="shared" ref="T303:BI303" si="98">($T173*$T$205*T$215)*U$50+T$286*U$53</f>
        <v>1.4024734817481062</v>
      </c>
      <c r="U303" s="10">
        <f t="shared" si="98"/>
        <v>1.4461421819775833</v>
      </c>
      <c r="V303" s="10">
        <f t="shared" si="98"/>
        <v>1.5156752498028334</v>
      </c>
      <c r="W303" s="10">
        <f t="shared" si="98"/>
        <v>1.7291045959012277</v>
      </c>
      <c r="X303" s="10">
        <f t="shared" si="98"/>
        <v>1.9208442505152075</v>
      </c>
      <c r="Y303" s="10">
        <f t="shared" si="98"/>
        <v>1.9154659811964474</v>
      </c>
      <c r="Z303" s="10">
        <f t="shared" si="98"/>
        <v>1.9100877118776873</v>
      </c>
      <c r="AA303" s="10">
        <f t="shared" si="98"/>
        <v>1.904709442558927</v>
      </c>
      <c r="AB303" s="10">
        <f t="shared" si="98"/>
        <v>1.8993311732401668</v>
      </c>
      <c r="AC303" s="10">
        <f t="shared" si="98"/>
        <v>1.8939529039214067</v>
      </c>
      <c r="AD303" s="10">
        <f t="shared" si="98"/>
        <v>1.8885746346026475</v>
      </c>
      <c r="AE303" s="10">
        <f t="shared" si="98"/>
        <v>1.8789799400423211</v>
      </c>
      <c r="AF303" s="10">
        <f t="shared" si="98"/>
        <v>1.8693852454819944</v>
      </c>
      <c r="AG303" s="10">
        <f t="shared" si="98"/>
        <v>1.8597905509216679</v>
      </c>
      <c r="AH303" s="10">
        <f t="shared" si="98"/>
        <v>1.8501958563613412</v>
      </c>
      <c r="AI303" s="10">
        <f t="shared" si="98"/>
        <v>1.8406011618010147</v>
      </c>
      <c r="AJ303" s="10">
        <f t="shared" si="98"/>
        <v>1.8310064672406883</v>
      </c>
      <c r="AK303" s="10">
        <f t="shared" si="98"/>
        <v>1.8214117726803616</v>
      </c>
      <c r="AL303" s="10">
        <f t="shared" si="98"/>
        <v>1.8118170781200349</v>
      </c>
      <c r="AM303" s="10">
        <f t="shared" si="98"/>
        <v>1.8022223835597084</v>
      </c>
      <c r="AN303" s="10">
        <f t="shared" si="98"/>
        <v>1.792627688999382</v>
      </c>
      <c r="AO303" s="10">
        <f t="shared" si="98"/>
        <v>1.7830329944390553</v>
      </c>
      <c r="AP303" s="10">
        <f t="shared" si="98"/>
        <v>1.7734382998787288</v>
      </c>
      <c r="AQ303" s="10">
        <f t="shared" si="98"/>
        <v>1.7638436053184021</v>
      </c>
      <c r="AR303" s="10">
        <f t="shared" si="98"/>
        <v>1.7542489107580754</v>
      </c>
      <c r="AS303" s="10">
        <f t="shared" si="98"/>
        <v>1.7446542161977492</v>
      </c>
      <c r="AT303" s="10">
        <f t="shared" si="98"/>
        <v>1.7350595216374225</v>
      </c>
      <c r="AU303" s="10">
        <f t="shared" si="98"/>
        <v>1.7254648270770958</v>
      </c>
      <c r="AV303" s="10">
        <f t="shared" si="98"/>
        <v>1.7158701325167693</v>
      </c>
      <c r="AW303" s="10">
        <f t="shared" si="98"/>
        <v>1.7062754379564427</v>
      </c>
      <c r="AX303" s="10">
        <f t="shared" si="98"/>
        <v>1.6966807433961184</v>
      </c>
      <c r="AY303" s="10">
        <f t="shared" si="98"/>
        <v>1.6966807433961184</v>
      </c>
      <c r="AZ303" s="10">
        <f t="shared" si="98"/>
        <v>1.6966807433961184</v>
      </c>
      <c r="BA303" s="10">
        <f t="shared" si="98"/>
        <v>1.6966807433961184</v>
      </c>
      <c r="BB303" s="10">
        <f t="shared" si="98"/>
        <v>1.6966807433961184</v>
      </c>
      <c r="BC303" s="10">
        <f t="shared" si="98"/>
        <v>1.6966807433961184</v>
      </c>
      <c r="BD303" s="10">
        <f t="shared" si="98"/>
        <v>1.6966807433961184</v>
      </c>
      <c r="BE303" s="10">
        <f t="shared" si="98"/>
        <v>1.6966807433961184</v>
      </c>
      <c r="BF303" s="10">
        <f t="shared" si="98"/>
        <v>1.6966807433961184</v>
      </c>
      <c r="BG303" s="10">
        <f t="shared" si="98"/>
        <v>1.6966807433961184</v>
      </c>
      <c r="BH303" s="10">
        <f t="shared" si="98"/>
        <v>1.6966807433961184</v>
      </c>
      <c r="BI303" s="10">
        <f t="shared" si="98"/>
        <v>1.6966807433961184</v>
      </c>
    </row>
    <row r="304" spans="1:61" s="592" customFormat="1">
      <c r="A304" s="8" t="str">
        <f t="shared" si="97"/>
        <v>Prędkość 10,00÷19,99 km/h</v>
      </c>
      <c r="B304" s="110" t="s">
        <v>25</v>
      </c>
      <c r="C304" s="13"/>
      <c r="D304" s="13"/>
      <c r="E304" s="13"/>
      <c r="F304" s="13"/>
      <c r="G304" s="13"/>
      <c r="H304" s="13"/>
      <c r="I304" s="13"/>
      <c r="J304" s="13"/>
      <c r="K304" s="13"/>
      <c r="L304" s="13"/>
      <c r="M304" s="13"/>
      <c r="N304" s="13"/>
      <c r="O304" s="13"/>
      <c r="P304" s="13"/>
      <c r="Q304" s="78"/>
      <c r="R304" s="78"/>
      <c r="S304" s="78"/>
      <c r="T304" s="10">
        <f t="shared" ref="T304:BI304" si="99">($T174*$T$205*T$215)*U$50+T$286*U$53</f>
        <v>1.1857340974861923</v>
      </c>
      <c r="U304" s="10">
        <f t="shared" si="99"/>
        <v>1.223634140688806</v>
      </c>
      <c r="V304" s="10">
        <f t="shared" si="99"/>
        <v>1.2835014050303104</v>
      </c>
      <c r="W304" s="10">
        <f t="shared" si="99"/>
        <v>1.4654220474570088</v>
      </c>
      <c r="X304" s="10">
        <f t="shared" si="99"/>
        <v>1.6292455951411071</v>
      </c>
      <c r="Y304" s="10">
        <f t="shared" si="99"/>
        <v>1.6260110294151067</v>
      </c>
      <c r="Z304" s="10">
        <f t="shared" si="99"/>
        <v>1.6227764636891062</v>
      </c>
      <c r="AA304" s="10">
        <f t="shared" si="99"/>
        <v>1.6195418979631058</v>
      </c>
      <c r="AB304" s="10">
        <f t="shared" si="99"/>
        <v>1.6163073322371051</v>
      </c>
      <c r="AC304" s="10">
        <f t="shared" si="99"/>
        <v>1.6130727665111046</v>
      </c>
      <c r="AD304" s="10">
        <f t="shared" si="99"/>
        <v>1.6098382007851049</v>
      </c>
      <c r="AE304" s="10">
        <f t="shared" si="99"/>
        <v>1.604067818467503</v>
      </c>
      <c r="AF304" s="10">
        <f t="shared" si="99"/>
        <v>1.5982974361499007</v>
      </c>
      <c r="AG304" s="10">
        <f t="shared" si="99"/>
        <v>1.5925270538322986</v>
      </c>
      <c r="AH304" s="10">
        <f t="shared" si="99"/>
        <v>1.5867566715146963</v>
      </c>
      <c r="AI304" s="10">
        <f t="shared" si="99"/>
        <v>1.5809862891970945</v>
      </c>
      <c r="AJ304" s="10">
        <f t="shared" si="99"/>
        <v>1.5752159068794922</v>
      </c>
      <c r="AK304" s="10">
        <f t="shared" si="99"/>
        <v>1.5694455245618901</v>
      </c>
      <c r="AL304" s="10">
        <f t="shared" si="99"/>
        <v>1.5636751422442878</v>
      </c>
      <c r="AM304" s="10">
        <f t="shared" si="99"/>
        <v>1.5579047599266858</v>
      </c>
      <c r="AN304" s="10">
        <f t="shared" si="99"/>
        <v>1.5521343776090837</v>
      </c>
      <c r="AO304" s="10">
        <f t="shared" si="99"/>
        <v>1.5463639952914816</v>
      </c>
      <c r="AP304" s="10">
        <f t="shared" si="99"/>
        <v>1.5405936129738793</v>
      </c>
      <c r="AQ304" s="10">
        <f t="shared" si="99"/>
        <v>1.5348232306562772</v>
      </c>
      <c r="AR304" s="10">
        <f t="shared" si="99"/>
        <v>1.5290528483386752</v>
      </c>
      <c r="AS304" s="10">
        <f t="shared" si="99"/>
        <v>1.5232824660210729</v>
      </c>
      <c r="AT304" s="10">
        <f t="shared" si="99"/>
        <v>1.517512083703471</v>
      </c>
      <c r="AU304" s="10">
        <f t="shared" si="99"/>
        <v>1.5117417013858687</v>
      </c>
      <c r="AV304" s="10">
        <f t="shared" si="99"/>
        <v>1.5059713190682666</v>
      </c>
      <c r="AW304" s="10">
        <f t="shared" si="99"/>
        <v>1.5002009367506643</v>
      </c>
      <c r="AX304" s="10">
        <f t="shared" si="99"/>
        <v>1.4944305544330643</v>
      </c>
      <c r="AY304" s="10">
        <f t="shared" si="99"/>
        <v>1.4944305544330643</v>
      </c>
      <c r="AZ304" s="10">
        <f t="shared" si="99"/>
        <v>1.4944305544330643</v>
      </c>
      <c r="BA304" s="10">
        <f t="shared" si="99"/>
        <v>1.4944305544330643</v>
      </c>
      <c r="BB304" s="10">
        <f t="shared" si="99"/>
        <v>1.4944305544330643</v>
      </c>
      <c r="BC304" s="10">
        <f t="shared" si="99"/>
        <v>1.4944305544330643</v>
      </c>
      <c r="BD304" s="10">
        <f t="shared" si="99"/>
        <v>1.4944305544330643</v>
      </c>
      <c r="BE304" s="10">
        <f t="shared" si="99"/>
        <v>1.4944305544330643</v>
      </c>
      <c r="BF304" s="10">
        <f t="shared" si="99"/>
        <v>1.4944305544330643</v>
      </c>
      <c r="BG304" s="10">
        <f t="shared" si="99"/>
        <v>1.4944305544330643</v>
      </c>
      <c r="BH304" s="10">
        <f t="shared" si="99"/>
        <v>1.4944305544330643</v>
      </c>
      <c r="BI304" s="10">
        <f t="shared" si="99"/>
        <v>1.4944305544330643</v>
      </c>
    </row>
    <row r="305" spans="1:61" s="592" customFormat="1">
      <c r="A305" s="8" t="str">
        <f t="shared" si="97"/>
        <v>Prędkość 20,00÷29,99 km/h</v>
      </c>
      <c r="B305" s="110" t="s">
        <v>25</v>
      </c>
      <c r="C305" s="13"/>
      <c r="D305" s="13"/>
      <c r="E305" s="13"/>
      <c r="F305" s="13"/>
      <c r="G305" s="13"/>
      <c r="H305" s="13"/>
      <c r="I305" s="13"/>
      <c r="J305" s="13"/>
      <c r="K305" s="13"/>
      <c r="L305" s="13"/>
      <c r="M305" s="13"/>
      <c r="N305" s="13"/>
      <c r="O305" s="13"/>
      <c r="P305" s="13"/>
      <c r="Q305" s="78"/>
      <c r="R305" s="78"/>
      <c r="S305" s="78"/>
      <c r="T305" s="10">
        <f t="shared" ref="T305:BI305" si="100">($T175*$T$205*T$215)*U$50+T$286*U$53</f>
        <v>1.0965988074994615</v>
      </c>
      <c r="U305" s="10">
        <f t="shared" si="100"/>
        <v>1.1321264580763672</v>
      </c>
      <c r="V305" s="10">
        <f t="shared" si="100"/>
        <v>1.1880186064074041</v>
      </c>
      <c r="W305" s="10">
        <f t="shared" si="100"/>
        <v>1.3569811173507689</v>
      </c>
      <c r="X305" s="10">
        <f t="shared" si="100"/>
        <v>1.5093240091542148</v>
      </c>
      <c r="Y305" s="10">
        <f t="shared" si="100"/>
        <v>1.5069710535796732</v>
      </c>
      <c r="Z305" s="10">
        <f t="shared" si="100"/>
        <v>1.5046180980051314</v>
      </c>
      <c r="AA305" s="10">
        <f t="shared" si="100"/>
        <v>1.5022651424305897</v>
      </c>
      <c r="AB305" s="10">
        <f t="shared" si="100"/>
        <v>1.4999121868560481</v>
      </c>
      <c r="AC305" s="10">
        <f t="shared" si="100"/>
        <v>1.4975592312815063</v>
      </c>
      <c r="AD305" s="10">
        <f t="shared" si="100"/>
        <v>1.4952062757069653</v>
      </c>
      <c r="AE305" s="10">
        <f t="shared" si="100"/>
        <v>1.4910086632941772</v>
      </c>
      <c r="AF305" s="10">
        <f t="shared" si="100"/>
        <v>1.486811050881389</v>
      </c>
      <c r="AG305" s="10">
        <f t="shared" si="100"/>
        <v>1.4826134384686009</v>
      </c>
      <c r="AH305" s="10">
        <f t="shared" si="100"/>
        <v>1.4784158260558127</v>
      </c>
      <c r="AI305" s="10">
        <f t="shared" si="100"/>
        <v>1.4742182136430246</v>
      </c>
      <c r="AJ305" s="10">
        <f t="shared" si="100"/>
        <v>1.4700206012302364</v>
      </c>
      <c r="AK305" s="10">
        <f t="shared" si="100"/>
        <v>1.4658229888174481</v>
      </c>
      <c r="AL305" s="10">
        <f t="shared" si="100"/>
        <v>1.4616253764046601</v>
      </c>
      <c r="AM305" s="10">
        <f t="shared" si="100"/>
        <v>1.4574277639918718</v>
      </c>
      <c r="AN305" s="10">
        <f t="shared" si="100"/>
        <v>1.4532301515790835</v>
      </c>
      <c r="AO305" s="10">
        <f t="shared" si="100"/>
        <v>1.4490325391662955</v>
      </c>
      <c r="AP305" s="10">
        <f t="shared" si="100"/>
        <v>1.4448349267535072</v>
      </c>
      <c r="AQ305" s="10">
        <f t="shared" si="100"/>
        <v>1.4406373143407192</v>
      </c>
      <c r="AR305" s="10">
        <f t="shared" si="100"/>
        <v>1.4364397019279309</v>
      </c>
      <c r="AS305" s="10">
        <f t="shared" si="100"/>
        <v>1.4322420895151429</v>
      </c>
      <c r="AT305" s="10">
        <f t="shared" si="100"/>
        <v>1.4280444771023546</v>
      </c>
      <c r="AU305" s="10">
        <f t="shared" si="100"/>
        <v>1.4238468646895663</v>
      </c>
      <c r="AV305" s="10">
        <f t="shared" si="100"/>
        <v>1.4196492522767783</v>
      </c>
      <c r="AW305" s="10">
        <f t="shared" si="100"/>
        <v>1.41545163986399</v>
      </c>
      <c r="AX305" s="10">
        <f t="shared" si="100"/>
        <v>1.4112540274512038</v>
      </c>
      <c r="AY305" s="10">
        <f t="shared" si="100"/>
        <v>1.4112540274512038</v>
      </c>
      <c r="AZ305" s="10">
        <f t="shared" si="100"/>
        <v>1.4112540274512038</v>
      </c>
      <c r="BA305" s="10">
        <f t="shared" si="100"/>
        <v>1.4112540274512038</v>
      </c>
      <c r="BB305" s="10">
        <f t="shared" si="100"/>
        <v>1.4112540274512038</v>
      </c>
      <c r="BC305" s="10">
        <f t="shared" si="100"/>
        <v>1.4112540274512038</v>
      </c>
      <c r="BD305" s="10">
        <f t="shared" si="100"/>
        <v>1.4112540274512038</v>
      </c>
      <c r="BE305" s="10">
        <f t="shared" si="100"/>
        <v>1.4112540274512038</v>
      </c>
      <c r="BF305" s="10">
        <f t="shared" si="100"/>
        <v>1.4112540274512038</v>
      </c>
      <c r="BG305" s="10">
        <f t="shared" si="100"/>
        <v>1.4112540274512038</v>
      </c>
      <c r="BH305" s="10">
        <f t="shared" si="100"/>
        <v>1.4112540274512038</v>
      </c>
      <c r="BI305" s="10">
        <f t="shared" si="100"/>
        <v>1.4112540274512038</v>
      </c>
    </row>
    <row r="306" spans="1:61" s="592" customFormat="1">
      <c r="A306" s="8" t="str">
        <f t="shared" si="97"/>
        <v>Prędkość 30,00÷39,99 km/h</v>
      </c>
      <c r="B306" s="110" t="s">
        <v>25</v>
      </c>
      <c r="C306" s="13"/>
      <c r="D306" s="13"/>
      <c r="E306" s="13"/>
      <c r="F306" s="13"/>
      <c r="G306" s="13"/>
      <c r="H306" s="13"/>
      <c r="I306" s="13"/>
      <c r="J306" s="13"/>
      <c r="K306" s="13"/>
      <c r="L306" s="13"/>
      <c r="M306" s="13"/>
      <c r="N306" s="13"/>
      <c r="O306" s="13"/>
      <c r="P306" s="13"/>
      <c r="Q306" s="78"/>
      <c r="R306" s="78"/>
      <c r="S306" s="78"/>
      <c r="T306" s="10">
        <f t="shared" ref="T306:BI306" si="101">($T176*$T$205*T$215)*U$50+T$286*U$53</f>
        <v>1.0430131014127211</v>
      </c>
      <c r="U306" s="10">
        <f t="shared" si="101"/>
        <v>1.0771145342257931</v>
      </c>
      <c r="V306" s="10">
        <f t="shared" si="101"/>
        <v>1.130616951191965</v>
      </c>
      <c r="W306" s="10">
        <f t="shared" si="101"/>
        <v>1.291789386788039</v>
      </c>
      <c r="X306" s="10">
        <f t="shared" si="101"/>
        <v>1.4372304212934919</v>
      </c>
      <c r="Y306" s="10">
        <f t="shared" si="101"/>
        <v>1.4354074657051081</v>
      </c>
      <c r="Z306" s="10">
        <f t="shared" si="101"/>
        <v>1.4335845101167246</v>
      </c>
      <c r="AA306" s="10">
        <f t="shared" si="101"/>
        <v>1.4317615545283409</v>
      </c>
      <c r="AB306" s="10">
        <f t="shared" si="101"/>
        <v>1.4299385989399571</v>
      </c>
      <c r="AC306" s="10">
        <f t="shared" si="101"/>
        <v>1.4281156433515731</v>
      </c>
      <c r="AD306" s="10">
        <f t="shared" si="101"/>
        <v>1.4262926877631903</v>
      </c>
      <c r="AE306" s="10">
        <f t="shared" si="101"/>
        <v>1.4230405817359648</v>
      </c>
      <c r="AF306" s="10">
        <f t="shared" si="101"/>
        <v>1.4197884757087393</v>
      </c>
      <c r="AG306" s="10">
        <f t="shared" si="101"/>
        <v>1.4165363696815139</v>
      </c>
      <c r="AH306" s="10">
        <f t="shared" si="101"/>
        <v>1.4132842636542882</v>
      </c>
      <c r="AI306" s="10">
        <f t="shared" si="101"/>
        <v>1.4100321576270627</v>
      </c>
      <c r="AJ306" s="10">
        <f t="shared" si="101"/>
        <v>1.4067800515998372</v>
      </c>
      <c r="AK306" s="10">
        <f t="shared" si="101"/>
        <v>1.4035279455726117</v>
      </c>
      <c r="AL306" s="10">
        <f t="shared" si="101"/>
        <v>1.400275839545386</v>
      </c>
      <c r="AM306" s="10">
        <f t="shared" si="101"/>
        <v>1.3970237335181606</v>
      </c>
      <c r="AN306" s="10">
        <f t="shared" si="101"/>
        <v>1.3937716274909349</v>
      </c>
      <c r="AO306" s="10">
        <f t="shared" si="101"/>
        <v>1.3905195214637096</v>
      </c>
      <c r="AP306" s="10">
        <f t="shared" si="101"/>
        <v>1.3872674154364841</v>
      </c>
      <c r="AQ306" s="10">
        <f t="shared" si="101"/>
        <v>1.3840153094092584</v>
      </c>
      <c r="AR306" s="10">
        <f t="shared" si="101"/>
        <v>1.380763203382033</v>
      </c>
      <c r="AS306" s="10">
        <f t="shared" si="101"/>
        <v>1.3775110973548075</v>
      </c>
      <c r="AT306" s="10">
        <f t="shared" si="101"/>
        <v>1.374258991327582</v>
      </c>
      <c r="AU306" s="10">
        <f t="shared" si="101"/>
        <v>1.3710068853003563</v>
      </c>
      <c r="AV306" s="10">
        <f t="shared" si="101"/>
        <v>1.3677547792731308</v>
      </c>
      <c r="AW306" s="10">
        <f t="shared" si="101"/>
        <v>1.3645026732459054</v>
      </c>
      <c r="AX306" s="10">
        <f t="shared" si="101"/>
        <v>1.3612505672186814</v>
      </c>
      <c r="AY306" s="10">
        <f t="shared" si="101"/>
        <v>1.3612505672186814</v>
      </c>
      <c r="AZ306" s="10">
        <f t="shared" si="101"/>
        <v>1.3612505672186814</v>
      </c>
      <c r="BA306" s="10">
        <f t="shared" si="101"/>
        <v>1.3612505672186814</v>
      </c>
      <c r="BB306" s="10">
        <f t="shared" si="101"/>
        <v>1.3612505672186814</v>
      </c>
      <c r="BC306" s="10">
        <f t="shared" si="101"/>
        <v>1.3612505672186814</v>
      </c>
      <c r="BD306" s="10">
        <f t="shared" si="101"/>
        <v>1.3612505672186814</v>
      </c>
      <c r="BE306" s="10">
        <f t="shared" si="101"/>
        <v>1.3612505672186814</v>
      </c>
      <c r="BF306" s="10">
        <f t="shared" si="101"/>
        <v>1.3612505672186814</v>
      </c>
      <c r="BG306" s="10">
        <f t="shared" si="101"/>
        <v>1.3612505672186814</v>
      </c>
      <c r="BH306" s="10">
        <f t="shared" si="101"/>
        <v>1.3612505672186814</v>
      </c>
      <c r="BI306" s="10">
        <f t="shared" si="101"/>
        <v>1.3612505672186814</v>
      </c>
    </row>
    <row r="307" spans="1:61" s="592" customFormat="1">
      <c r="A307" s="8" t="str">
        <f t="shared" si="97"/>
        <v>Prędkość 40,00÷49,99 km/h</v>
      </c>
      <c r="B307" s="110" t="s">
        <v>25</v>
      </c>
      <c r="C307" s="13"/>
      <c r="D307" s="13"/>
      <c r="E307" s="13"/>
      <c r="F307" s="13"/>
      <c r="G307" s="13"/>
      <c r="H307" s="13"/>
      <c r="I307" s="13"/>
      <c r="J307" s="13"/>
      <c r="K307" s="13"/>
      <c r="L307" s="13"/>
      <c r="M307" s="13"/>
      <c r="N307" s="13"/>
      <c r="O307" s="13"/>
      <c r="P307" s="13"/>
      <c r="Q307" s="78"/>
      <c r="R307" s="78"/>
      <c r="S307" s="78"/>
      <c r="T307" s="10">
        <f t="shared" ref="T307:BI307" si="102">($T177*$T$205*T$215)*U$50+T$286*U$53</f>
        <v>1.0076003273740135</v>
      </c>
      <c r="U307" s="10">
        <f t="shared" si="102"/>
        <v>1.0407592266069761</v>
      </c>
      <c r="V307" s="10">
        <f t="shared" si="102"/>
        <v>1.0926823601593922</v>
      </c>
      <c r="W307" s="10">
        <f t="shared" si="102"/>
        <v>1.2487066284891519</v>
      </c>
      <c r="X307" s="10">
        <f t="shared" si="102"/>
        <v>1.3895864855689384</v>
      </c>
      <c r="Y307" s="10">
        <f t="shared" si="102"/>
        <v>1.3881137870009612</v>
      </c>
      <c r="Z307" s="10">
        <f t="shared" si="102"/>
        <v>1.3866410884329845</v>
      </c>
      <c r="AA307" s="10">
        <f t="shared" si="102"/>
        <v>1.3851683898650073</v>
      </c>
      <c r="AB307" s="10">
        <f t="shared" si="102"/>
        <v>1.3836956912970304</v>
      </c>
      <c r="AC307" s="10">
        <f t="shared" si="102"/>
        <v>1.3822229927290532</v>
      </c>
      <c r="AD307" s="10">
        <f t="shared" si="102"/>
        <v>1.380750294161077</v>
      </c>
      <c r="AE307" s="10">
        <f t="shared" si="102"/>
        <v>1.3781230376773079</v>
      </c>
      <c r="AF307" s="10">
        <f t="shared" si="102"/>
        <v>1.3754957811935387</v>
      </c>
      <c r="AG307" s="10">
        <f t="shared" si="102"/>
        <v>1.3728685247097694</v>
      </c>
      <c r="AH307" s="10">
        <f t="shared" si="102"/>
        <v>1.3702412682260001</v>
      </c>
      <c r="AI307" s="10">
        <f t="shared" si="102"/>
        <v>1.3676140117422309</v>
      </c>
      <c r="AJ307" s="10">
        <f t="shared" si="102"/>
        <v>1.364986755258462</v>
      </c>
      <c r="AK307" s="10">
        <f t="shared" si="102"/>
        <v>1.3623594987746928</v>
      </c>
      <c r="AL307" s="10">
        <f t="shared" si="102"/>
        <v>1.3597322422909235</v>
      </c>
      <c r="AM307" s="10">
        <f t="shared" si="102"/>
        <v>1.3571049858071542</v>
      </c>
      <c r="AN307" s="10">
        <f t="shared" si="102"/>
        <v>1.3544777293233849</v>
      </c>
      <c r="AO307" s="10">
        <f t="shared" si="102"/>
        <v>1.3518504728396159</v>
      </c>
      <c r="AP307" s="10">
        <f t="shared" si="102"/>
        <v>1.3492232163558466</v>
      </c>
      <c r="AQ307" s="10">
        <f t="shared" si="102"/>
        <v>1.3465959598720774</v>
      </c>
      <c r="AR307" s="10">
        <f t="shared" si="102"/>
        <v>1.3439687033883081</v>
      </c>
      <c r="AS307" s="10">
        <f t="shared" si="102"/>
        <v>1.341341446904539</v>
      </c>
      <c r="AT307" s="10">
        <f t="shared" si="102"/>
        <v>1.33871419042077</v>
      </c>
      <c r="AU307" s="10">
        <f t="shared" si="102"/>
        <v>1.3360869339370005</v>
      </c>
      <c r="AV307" s="10">
        <f t="shared" si="102"/>
        <v>1.3334596774532315</v>
      </c>
      <c r="AW307" s="10">
        <f t="shared" si="102"/>
        <v>1.3308324209694622</v>
      </c>
      <c r="AX307" s="10">
        <f t="shared" si="102"/>
        <v>1.3282051644856947</v>
      </c>
      <c r="AY307" s="10">
        <f t="shared" si="102"/>
        <v>1.3282051644856947</v>
      </c>
      <c r="AZ307" s="10">
        <f t="shared" si="102"/>
        <v>1.3282051644856947</v>
      </c>
      <c r="BA307" s="10">
        <f t="shared" si="102"/>
        <v>1.3282051644856947</v>
      </c>
      <c r="BB307" s="10">
        <f t="shared" si="102"/>
        <v>1.3282051644856947</v>
      </c>
      <c r="BC307" s="10">
        <f t="shared" si="102"/>
        <v>1.3282051644856947</v>
      </c>
      <c r="BD307" s="10">
        <f t="shared" si="102"/>
        <v>1.3282051644856947</v>
      </c>
      <c r="BE307" s="10">
        <f t="shared" si="102"/>
        <v>1.3282051644856947</v>
      </c>
      <c r="BF307" s="10">
        <f t="shared" si="102"/>
        <v>1.3282051644856947</v>
      </c>
      <c r="BG307" s="10">
        <f t="shared" si="102"/>
        <v>1.3282051644856947</v>
      </c>
      <c r="BH307" s="10">
        <f t="shared" si="102"/>
        <v>1.3282051644856947</v>
      </c>
      <c r="BI307" s="10">
        <f t="shared" si="102"/>
        <v>1.3282051644856947</v>
      </c>
    </row>
    <row r="308" spans="1:61" s="592" customFormat="1">
      <c r="A308" s="8" t="str">
        <f t="shared" si="97"/>
        <v>Prędkość 50,00÷59,99 km/h</v>
      </c>
      <c r="B308" s="110" t="s">
        <v>25</v>
      </c>
      <c r="C308" s="13"/>
      <c r="D308" s="13"/>
      <c r="E308" s="13"/>
      <c r="F308" s="13"/>
      <c r="G308" s="13"/>
      <c r="H308" s="13"/>
      <c r="I308" s="13"/>
      <c r="J308" s="13"/>
      <c r="K308" s="13"/>
      <c r="L308" s="13"/>
      <c r="M308" s="13"/>
      <c r="N308" s="13"/>
      <c r="O308" s="13"/>
      <c r="P308" s="13"/>
      <c r="Q308" s="78"/>
      <c r="R308" s="78"/>
      <c r="S308" s="78"/>
      <c r="T308" s="10">
        <f t="shared" ref="T308:BI308" si="103">($T178*$T$205*T$215)*U$50+T$286*U$53</f>
        <v>0.98395245074446303</v>
      </c>
      <c r="U308" s="10">
        <f t="shared" si="103"/>
        <v>1.0164819466497654</v>
      </c>
      <c r="V308" s="10">
        <f t="shared" si="103"/>
        <v>1.0673504692504736</v>
      </c>
      <c r="W308" s="10">
        <f t="shared" si="103"/>
        <v>1.2199369039824182</v>
      </c>
      <c r="X308" s="10">
        <f t="shared" si="103"/>
        <v>1.3577709064525163</v>
      </c>
      <c r="Y308" s="10">
        <f t="shared" si="103"/>
        <v>1.3565321018686185</v>
      </c>
      <c r="Z308" s="10">
        <f t="shared" si="103"/>
        <v>1.3552932972847209</v>
      </c>
      <c r="AA308" s="10">
        <f t="shared" si="103"/>
        <v>1.3540544927008231</v>
      </c>
      <c r="AB308" s="10">
        <f t="shared" si="103"/>
        <v>1.3528156881169253</v>
      </c>
      <c r="AC308" s="10">
        <f t="shared" si="103"/>
        <v>1.3515768835330275</v>
      </c>
      <c r="AD308" s="10">
        <f t="shared" si="103"/>
        <v>1.3503380789491304</v>
      </c>
      <c r="AE308" s="10">
        <f t="shared" si="103"/>
        <v>1.348128083335677</v>
      </c>
      <c r="AF308" s="10">
        <f t="shared" si="103"/>
        <v>1.3459180877222237</v>
      </c>
      <c r="AG308" s="10">
        <f t="shared" si="103"/>
        <v>1.3437080921087701</v>
      </c>
      <c r="AH308" s="10">
        <f t="shared" si="103"/>
        <v>1.3414980964953167</v>
      </c>
      <c r="AI308" s="10">
        <f t="shared" si="103"/>
        <v>1.3392881008818631</v>
      </c>
      <c r="AJ308" s="10">
        <f t="shared" si="103"/>
        <v>1.33707810526841</v>
      </c>
      <c r="AK308" s="10">
        <f t="shared" si="103"/>
        <v>1.3348681096549564</v>
      </c>
      <c r="AL308" s="10">
        <f t="shared" si="103"/>
        <v>1.3326581140415028</v>
      </c>
      <c r="AM308" s="10">
        <f t="shared" si="103"/>
        <v>1.3304481184280494</v>
      </c>
      <c r="AN308" s="10">
        <f t="shared" si="103"/>
        <v>1.3282381228145961</v>
      </c>
      <c r="AO308" s="10">
        <f t="shared" si="103"/>
        <v>1.3260281272011427</v>
      </c>
      <c r="AP308" s="10">
        <f t="shared" si="103"/>
        <v>1.3238181315876891</v>
      </c>
      <c r="AQ308" s="10">
        <f t="shared" si="103"/>
        <v>1.3216081359742358</v>
      </c>
      <c r="AR308" s="10">
        <f t="shared" si="103"/>
        <v>1.3193981403607822</v>
      </c>
      <c r="AS308" s="10">
        <f t="shared" si="103"/>
        <v>1.3171881447473288</v>
      </c>
      <c r="AT308" s="10">
        <f t="shared" si="103"/>
        <v>1.3149781491338755</v>
      </c>
      <c r="AU308" s="10">
        <f t="shared" si="103"/>
        <v>1.3127681535204219</v>
      </c>
      <c r="AV308" s="10">
        <f t="shared" si="103"/>
        <v>1.3105581579069685</v>
      </c>
      <c r="AW308" s="10">
        <f t="shared" si="103"/>
        <v>1.3083481622935149</v>
      </c>
      <c r="AX308" s="10">
        <f t="shared" si="103"/>
        <v>1.3061381666800633</v>
      </c>
      <c r="AY308" s="10">
        <f t="shared" si="103"/>
        <v>1.3061381666800633</v>
      </c>
      <c r="AZ308" s="10">
        <f t="shared" si="103"/>
        <v>1.3061381666800633</v>
      </c>
      <c r="BA308" s="10">
        <f t="shared" si="103"/>
        <v>1.3061381666800633</v>
      </c>
      <c r="BB308" s="10">
        <f t="shared" si="103"/>
        <v>1.3061381666800633</v>
      </c>
      <c r="BC308" s="10">
        <f t="shared" si="103"/>
        <v>1.3061381666800633</v>
      </c>
      <c r="BD308" s="10">
        <f t="shared" si="103"/>
        <v>1.3061381666800633</v>
      </c>
      <c r="BE308" s="10">
        <f t="shared" si="103"/>
        <v>1.3061381666800633</v>
      </c>
      <c r="BF308" s="10">
        <f t="shared" si="103"/>
        <v>1.3061381666800633</v>
      </c>
      <c r="BG308" s="10">
        <f t="shared" si="103"/>
        <v>1.3061381666800633</v>
      </c>
      <c r="BH308" s="10">
        <f t="shared" si="103"/>
        <v>1.3061381666800633</v>
      </c>
      <c r="BI308" s="10">
        <f t="shared" si="103"/>
        <v>1.3061381666800633</v>
      </c>
    </row>
    <row r="309" spans="1:61">
      <c r="A309" s="8" t="str">
        <f t="shared" si="97"/>
        <v>Prędkość 60,00÷69,99 km/h</v>
      </c>
      <c r="B309" s="110" t="s">
        <v>25</v>
      </c>
      <c r="C309" s="13"/>
      <c r="D309" s="13"/>
      <c r="E309" s="13"/>
      <c r="F309" s="13"/>
      <c r="G309" s="13"/>
      <c r="H309" s="13"/>
      <c r="I309" s="13"/>
      <c r="J309" s="13"/>
      <c r="K309" s="13"/>
      <c r="L309" s="13"/>
      <c r="M309" s="13"/>
      <c r="N309" s="13"/>
      <c r="O309" s="13"/>
      <c r="P309" s="13"/>
      <c r="Q309" s="78"/>
      <c r="R309" s="78"/>
      <c r="S309" s="78"/>
      <c r="T309" s="10">
        <f t="shared" ref="T309:BI309" si="104">($T179*$T$205*T$215)*U$50+T$286*U$53</f>
        <v>0.96896273137441802</v>
      </c>
      <c r="U309" s="10">
        <f t="shared" si="104"/>
        <v>1.0010932663328247</v>
      </c>
      <c r="V309" s="10">
        <f t="shared" si="104"/>
        <v>1.0512933009141507</v>
      </c>
      <c r="W309" s="10">
        <f t="shared" si="104"/>
        <v>1.2017005902759035</v>
      </c>
      <c r="X309" s="10">
        <f t="shared" si="104"/>
        <v>1.3376039117569043</v>
      </c>
      <c r="Y309" s="10">
        <f t="shared" si="104"/>
        <v>1.3365133659464521</v>
      </c>
      <c r="Z309" s="10">
        <f t="shared" si="104"/>
        <v>1.3354228201359999</v>
      </c>
      <c r="AA309" s="10">
        <f t="shared" si="104"/>
        <v>1.3343322743255479</v>
      </c>
      <c r="AB309" s="10">
        <f t="shared" si="104"/>
        <v>1.3332417285150957</v>
      </c>
      <c r="AC309" s="10">
        <f t="shared" si="104"/>
        <v>1.3321511827046433</v>
      </c>
      <c r="AD309" s="10">
        <f t="shared" si="104"/>
        <v>1.331060636894192</v>
      </c>
      <c r="AE309" s="10">
        <f t="shared" si="104"/>
        <v>1.3291151311310585</v>
      </c>
      <c r="AF309" s="10">
        <f t="shared" si="104"/>
        <v>1.327169625367925</v>
      </c>
      <c r="AG309" s="10">
        <f t="shared" si="104"/>
        <v>1.3252241196047914</v>
      </c>
      <c r="AH309" s="10">
        <f t="shared" si="104"/>
        <v>1.3232786138416579</v>
      </c>
      <c r="AI309" s="10">
        <f t="shared" si="104"/>
        <v>1.3213331080785244</v>
      </c>
      <c r="AJ309" s="10">
        <f t="shared" si="104"/>
        <v>1.319387602315391</v>
      </c>
      <c r="AK309" s="10">
        <f t="shared" si="104"/>
        <v>1.3174420965522573</v>
      </c>
      <c r="AL309" s="10">
        <f t="shared" si="104"/>
        <v>1.3154965907891238</v>
      </c>
      <c r="AM309" s="10">
        <f t="shared" si="104"/>
        <v>1.3135510850259904</v>
      </c>
      <c r="AN309" s="10">
        <f t="shared" si="104"/>
        <v>1.3116055792628569</v>
      </c>
      <c r="AO309" s="10">
        <f t="shared" si="104"/>
        <v>1.3096600734997235</v>
      </c>
      <c r="AP309" s="10">
        <f t="shared" si="104"/>
        <v>1.3077145677365898</v>
      </c>
      <c r="AQ309" s="10">
        <f t="shared" si="104"/>
        <v>1.3057690619734563</v>
      </c>
      <c r="AR309" s="10">
        <f t="shared" si="104"/>
        <v>1.3038235562103226</v>
      </c>
      <c r="AS309" s="10">
        <f t="shared" si="104"/>
        <v>1.3018780504471892</v>
      </c>
      <c r="AT309" s="10">
        <f t="shared" si="104"/>
        <v>1.2999325446840557</v>
      </c>
      <c r="AU309" s="10">
        <f t="shared" si="104"/>
        <v>1.297987038920922</v>
      </c>
      <c r="AV309" s="10">
        <f t="shared" si="104"/>
        <v>1.2960415331577888</v>
      </c>
      <c r="AW309" s="10">
        <f t="shared" si="104"/>
        <v>1.2940960273946551</v>
      </c>
      <c r="AX309" s="10">
        <f t="shared" si="104"/>
        <v>1.2921505216315232</v>
      </c>
      <c r="AY309" s="10">
        <f t="shared" si="104"/>
        <v>1.2921505216315232</v>
      </c>
      <c r="AZ309" s="10">
        <f t="shared" si="104"/>
        <v>1.2921505216315232</v>
      </c>
      <c r="BA309" s="10">
        <f t="shared" si="104"/>
        <v>1.2921505216315232</v>
      </c>
      <c r="BB309" s="10">
        <f t="shared" si="104"/>
        <v>1.2921505216315232</v>
      </c>
      <c r="BC309" s="10">
        <f t="shared" si="104"/>
        <v>1.2921505216315232</v>
      </c>
      <c r="BD309" s="10">
        <f t="shared" si="104"/>
        <v>1.2921505216315232</v>
      </c>
      <c r="BE309" s="10">
        <f t="shared" si="104"/>
        <v>1.2921505216315232</v>
      </c>
      <c r="BF309" s="10">
        <f t="shared" si="104"/>
        <v>1.2921505216315232</v>
      </c>
      <c r="BG309" s="10">
        <f t="shared" si="104"/>
        <v>1.2921505216315232</v>
      </c>
      <c r="BH309" s="10">
        <f t="shared" si="104"/>
        <v>1.2921505216315232</v>
      </c>
      <c r="BI309" s="10">
        <f t="shared" si="104"/>
        <v>1.2921505216315232</v>
      </c>
    </row>
    <row r="310" spans="1:61" s="592" customFormat="1">
      <c r="A310" s="8" t="str">
        <f t="shared" si="97"/>
        <v>Prędkość 70,00÷79,99 km/h</v>
      </c>
      <c r="B310" s="110" t="s">
        <v>25</v>
      </c>
      <c r="C310" s="13"/>
      <c r="D310" s="13"/>
      <c r="E310" s="13"/>
      <c r="F310" s="13"/>
      <c r="G310" s="13"/>
      <c r="H310" s="13"/>
      <c r="I310" s="13"/>
      <c r="J310" s="13"/>
      <c r="K310" s="13"/>
      <c r="L310" s="13"/>
      <c r="M310" s="13"/>
      <c r="N310" s="13"/>
      <c r="O310" s="13"/>
      <c r="P310" s="13"/>
      <c r="Q310" s="78"/>
      <c r="R310" s="78"/>
      <c r="S310" s="78"/>
      <c r="T310" s="10">
        <f t="shared" ref="T310:BI310" si="105">($T180*$T$205*T$215)*U$50+T$286*U$53</f>
        <v>0.96086823805271104</v>
      </c>
      <c r="U310" s="10">
        <f t="shared" si="105"/>
        <v>0.99278333290576659</v>
      </c>
      <c r="V310" s="10">
        <f t="shared" si="105"/>
        <v>1.0426223819559464</v>
      </c>
      <c r="W310" s="10">
        <f t="shared" si="105"/>
        <v>1.1918529262959543</v>
      </c>
      <c r="X310" s="10">
        <f t="shared" si="105"/>
        <v>1.3267136742646168</v>
      </c>
      <c r="Y310" s="10">
        <f t="shared" si="105"/>
        <v>1.3257031886355404</v>
      </c>
      <c r="Z310" s="10">
        <f t="shared" si="105"/>
        <v>1.3246927030064644</v>
      </c>
      <c r="AA310" s="10">
        <f t="shared" si="105"/>
        <v>1.3236822173773881</v>
      </c>
      <c r="AB310" s="10">
        <f t="shared" si="105"/>
        <v>1.3226717317483117</v>
      </c>
      <c r="AC310" s="10">
        <f t="shared" si="105"/>
        <v>1.3216612461192354</v>
      </c>
      <c r="AD310" s="10">
        <f t="shared" si="105"/>
        <v>1.3206507604901598</v>
      </c>
      <c r="AE310" s="10">
        <f t="shared" si="105"/>
        <v>1.318848080037776</v>
      </c>
      <c r="AF310" s="10">
        <f t="shared" si="105"/>
        <v>1.3170453995853919</v>
      </c>
      <c r="AG310" s="10">
        <f t="shared" si="105"/>
        <v>1.3152427191330078</v>
      </c>
      <c r="AH310" s="10">
        <f t="shared" si="105"/>
        <v>1.3134400386806238</v>
      </c>
      <c r="AI310" s="10">
        <f t="shared" si="105"/>
        <v>1.3116373582282397</v>
      </c>
      <c r="AJ310" s="10">
        <f t="shared" si="105"/>
        <v>1.3098346777758558</v>
      </c>
      <c r="AK310" s="10">
        <f t="shared" si="105"/>
        <v>1.3080319973234715</v>
      </c>
      <c r="AL310" s="10">
        <f t="shared" si="105"/>
        <v>1.3062293168710875</v>
      </c>
      <c r="AM310" s="10">
        <f t="shared" si="105"/>
        <v>1.3044266364187034</v>
      </c>
      <c r="AN310" s="10">
        <f t="shared" si="105"/>
        <v>1.3026239559663195</v>
      </c>
      <c r="AO310" s="10">
        <f t="shared" si="105"/>
        <v>1.3008212755139354</v>
      </c>
      <c r="AP310" s="10">
        <f t="shared" si="105"/>
        <v>1.2990185950615514</v>
      </c>
      <c r="AQ310" s="10">
        <f t="shared" si="105"/>
        <v>1.2972159146091673</v>
      </c>
      <c r="AR310" s="10">
        <f t="shared" si="105"/>
        <v>1.2954132341567832</v>
      </c>
      <c r="AS310" s="10">
        <f t="shared" si="105"/>
        <v>1.2936105537043991</v>
      </c>
      <c r="AT310" s="10">
        <f t="shared" si="105"/>
        <v>1.2918078732520151</v>
      </c>
      <c r="AU310" s="10">
        <f t="shared" si="105"/>
        <v>1.2900051927996312</v>
      </c>
      <c r="AV310" s="10">
        <f t="shared" si="105"/>
        <v>1.2882025123472469</v>
      </c>
      <c r="AW310" s="10">
        <f t="shared" si="105"/>
        <v>1.2863998318948628</v>
      </c>
      <c r="AX310" s="10">
        <f t="shared" si="105"/>
        <v>1.2845971514424805</v>
      </c>
      <c r="AY310" s="10">
        <f t="shared" si="105"/>
        <v>1.2845971514424805</v>
      </c>
      <c r="AZ310" s="10">
        <f t="shared" si="105"/>
        <v>1.2845971514424805</v>
      </c>
      <c r="BA310" s="10">
        <f t="shared" si="105"/>
        <v>1.2845971514424805</v>
      </c>
      <c r="BB310" s="10">
        <f t="shared" si="105"/>
        <v>1.2845971514424805</v>
      </c>
      <c r="BC310" s="10">
        <f t="shared" si="105"/>
        <v>1.2845971514424805</v>
      </c>
      <c r="BD310" s="10">
        <f t="shared" si="105"/>
        <v>1.2845971514424805</v>
      </c>
      <c r="BE310" s="10">
        <f t="shared" si="105"/>
        <v>1.2845971514424805</v>
      </c>
      <c r="BF310" s="10">
        <f t="shared" si="105"/>
        <v>1.2845971514424805</v>
      </c>
      <c r="BG310" s="10">
        <f t="shared" si="105"/>
        <v>1.2845971514424805</v>
      </c>
      <c r="BH310" s="10">
        <f t="shared" si="105"/>
        <v>1.2845971514424805</v>
      </c>
      <c r="BI310" s="10">
        <f t="shared" si="105"/>
        <v>1.2845971514424805</v>
      </c>
    </row>
    <row r="311" spans="1:61" s="592" customFormat="1">
      <c r="A311" s="8" t="str">
        <f t="shared" si="97"/>
        <v>Prędkość 80,00÷89,99 km/h</v>
      </c>
      <c r="B311" s="110" t="s">
        <v>25</v>
      </c>
      <c r="C311" s="13"/>
      <c r="D311" s="13"/>
      <c r="E311" s="13"/>
      <c r="F311" s="13"/>
      <c r="G311" s="13"/>
      <c r="H311" s="13"/>
      <c r="I311" s="13"/>
      <c r="J311" s="13"/>
      <c r="K311" s="13"/>
      <c r="L311" s="13"/>
      <c r="M311" s="13"/>
      <c r="N311" s="13"/>
      <c r="O311" s="13"/>
      <c r="P311" s="13"/>
      <c r="Q311" s="78"/>
      <c r="R311" s="78"/>
      <c r="S311" s="78"/>
      <c r="T311" s="10">
        <f t="shared" ref="T311:BI311" si="106">($T181*$T$205*T$215)*U$50+T$286*U$53</f>
        <v>0.95855916370352956</v>
      </c>
      <c r="U311" s="10">
        <f t="shared" si="106"/>
        <v>0.99041280106921914</v>
      </c>
      <c r="V311" s="10">
        <f t="shared" si="106"/>
        <v>1.0401488736393072</v>
      </c>
      <c r="W311" s="10">
        <f t="shared" si="106"/>
        <v>1.1890437339979656</v>
      </c>
      <c r="X311" s="10">
        <f t="shared" si="106"/>
        <v>1.3236070723995561</v>
      </c>
      <c r="Y311" s="10">
        <f t="shared" si="106"/>
        <v>1.3226194251253784</v>
      </c>
      <c r="Z311" s="10">
        <f t="shared" si="106"/>
        <v>1.3216317778512008</v>
      </c>
      <c r="AA311" s="10">
        <f t="shared" si="106"/>
        <v>1.3206441305770233</v>
      </c>
      <c r="AB311" s="10">
        <f t="shared" si="106"/>
        <v>1.3196564833028457</v>
      </c>
      <c r="AC311" s="10">
        <f t="shared" si="106"/>
        <v>1.3186688360286682</v>
      </c>
      <c r="AD311" s="10">
        <f t="shared" si="106"/>
        <v>1.3176811887544913</v>
      </c>
      <c r="AE311" s="10">
        <f t="shared" si="106"/>
        <v>1.3159192513416478</v>
      </c>
      <c r="AF311" s="10">
        <f t="shared" si="106"/>
        <v>1.3141573139288039</v>
      </c>
      <c r="AG311" s="10">
        <f t="shared" si="106"/>
        <v>1.3123953765159602</v>
      </c>
      <c r="AH311" s="10">
        <f t="shared" si="106"/>
        <v>1.3106334391031165</v>
      </c>
      <c r="AI311" s="10">
        <f t="shared" si="106"/>
        <v>1.3088715016902728</v>
      </c>
      <c r="AJ311" s="10">
        <f t="shared" si="106"/>
        <v>1.3071095642774293</v>
      </c>
      <c r="AK311" s="10">
        <f t="shared" si="106"/>
        <v>1.3053476268645854</v>
      </c>
      <c r="AL311" s="10">
        <f t="shared" si="106"/>
        <v>1.3035856894517417</v>
      </c>
      <c r="AM311" s="10">
        <f t="shared" si="106"/>
        <v>1.301823752038898</v>
      </c>
      <c r="AN311" s="10">
        <f t="shared" si="106"/>
        <v>1.3000618146260545</v>
      </c>
      <c r="AO311" s="10">
        <f t="shared" si="106"/>
        <v>1.2982998772132106</v>
      </c>
      <c r="AP311" s="10">
        <f t="shared" si="106"/>
        <v>1.2965379398003669</v>
      </c>
      <c r="AQ311" s="10">
        <f t="shared" si="106"/>
        <v>1.2947760023875232</v>
      </c>
      <c r="AR311" s="10">
        <f t="shared" si="106"/>
        <v>1.2930140649746795</v>
      </c>
      <c r="AS311" s="10">
        <f t="shared" si="106"/>
        <v>1.2912521275618358</v>
      </c>
      <c r="AT311" s="10">
        <f t="shared" si="106"/>
        <v>1.2894901901489921</v>
      </c>
      <c r="AU311" s="10">
        <f t="shared" si="106"/>
        <v>1.2877282527361484</v>
      </c>
      <c r="AV311" s="10">
        <f t="shared" si="106"/>
        <v>1.2859663153233047</v>
      </c>
      <c r="AW311" s="10">
        <f t="shared" si="106"/>
        <v>1.284204377910461</v>
      </c>
      <c r="AX311" s="10">
        <f t="shared" si="106"/>
        <v>1.2824424404976189</v>
      </c>
      <c r="AY311" s="10">
        <f t="shared" si="106"/>
        <v>1.2824424404976189</v>
      </c>
      <c r="AZ311" s="10">
        <f t="shared" si="106"/>
        <v>1.2824424404976189</v>
      </c>
      <c r="BA311" s="10">
        <f t="shared" si="106"/>
        <v>1.2824424404976189</v>
      </c>
      <c r="BB311" s="10">
        <f t="shared" si="106"/>
        <v>1.2824424404976189</v>
      </c>
      <c r="BC311" s="10">
        <f t="shared" si="106"/>
        <v>1.2824424404976189</v>
      </c>
      <c r="BD311" s="10">
        <f t="shared" si="106"/>
        <v>1.2824424404976189</v>
      </c>
      <c r="BE311" s="10">
        <f t="shared" si="106"/>
        <v>1.2824424404976189</v>
      </c>
      <c r="BF311" s="10">
        <f t="shared" si="106"/>
        <v>1.2824424404976189</v>
      </c>
      <c r="BG311" s="10">
        <f t="shared" si="106"/>
        <v>1.2824424404976189</v>
      </c>
      <c r="BH311" s="10">
        <f t="shared" si="106"/>
        <v>1.2824424404976189</v>
      </c>
      <c r="BI311" s="10">
        <f t="shared" si="106"/>
        <v>1.2824424404976189</v>
      </c>
    </row>
    <row r="312" spans="1:61" s="592" customFormat="1">
      <c r="A312" s="8" t="str">
        <f t="shared" si="97"/>
        <v>Prędkość 90,00÷99,99 km/h</v>
      </c>
      <c r="B312" s="110" t="s">
        <v>25</v>
      </c>
      <c r="C312" s="13"/>
      <c r="D312" s="13"/>
      <c r="E312" s="13"/>
      <c r="F312" s="13"/>
      <c r="G312" s="13"/>
      <c r="H312" s="13"/>
      <c r="I312" s="13"/>
      <c r="J312" s="13"/>
      <c r="K312" s="13"/>
      <c r="L312" s="13"/>
      <c r="M312" s="13"/>
      <c r="N312" s="13"/>
      <c r="O312" s="13"/>
      <c r="P312" s="13"/>
      <c r="Q312" s="78"/>
      <c r="R312" s="78"/>
      <c r="S312" s="78"/>
      <c r="T312" s="10">
        <f t="shared" ref="T312:BI312" si="107">($T182*$T$205*T$215)*U$50+T$286*U$53</f>
        <v>0.96128320948762758</v>
      </c>
      <c r="U312" s="10">
        <f t="shared" si="107"/>
        <v>0.99320934907024216</v>
      </c>
      <c r="V312" s="10">
        <f t="shared" si="107"/>
        <v>1.0430669043663214</v>
      </c>
      <c r="W312" s="10">
        <f t="shared" si="107"/>
        <v>1.1923577755916326</v>
      </c>
      <c r="X312" s="10">
        <f t="shared" si="107"/>
        <v>1.3272719720232471</v>
      </c>
      <c r="Y312" s="10">
        <f t="shared" si="107"/>
        <v>1.3262573820374155</v>
      </c>
      <c r="Z312" s="10">
        <f t="shared" si="107"/>
        <v>1.3252427920515841</v>
      </c>
      <c r="AA312" s="10">
        <f t="shared" si="107"/>
        <v>1.3242282020657528</v>
      </c>
      <c r="AB312" s="10">
        <f t="shared" si="107"/>
        <v>1.3232136120799212</v>
      </c>
      <c r="AC312" s="10">
        <f t="shared" si="107"/>
        <v>1.3221990220940896</v>
      </c>
      <c r="AD312" s="10">
        <f t="shared" si="107"/>
        <v>1.3211844321082586</v>
      </c>
      <c r="AE312" s="10">
        <f t="shared" si="107"/>
        <v>1.3193744295886634</v>
      </c>
      <c r="AF312" s="10">
        <f t="shared" si="107"/>
        <v>1.3175644270690678</v>
      </c>
      <c r="AG312" s="10">
        <f t="shared" si="107"/>
        <v>1.3157544245494723</v>
      </c>
      <c r="AH312" s="10">
        <f t="shared" si="107"/>
        <v>1.3139444220298768</v>
      </c>
      <c r="AI312" s="10">
        <f t="shared" si="107"/>
        <v>1.3121344195102815</v>
      </c>
      <c r="AJ312" s="10">
        <f t="shared" si="107"/>
        <v>1.310324416990686</v>
      </c>
      <c r="AK312" s="10">
        <f t="shared" si="107"/>
        <v>1.3085144144710903</v>
      </c>
      <c r="AL312" s="10">
        <f t="shared" si="107"/>
        <v>1.3067044119514948</v>
      </c>
      <c r="AM312" s="10">
        <f t="shared" si="107"/>
        <v>1.3048944094318993</v>
      </c>
      <c r="AN312" s="10">
        <f t="shared" si="107"/>
        <v>1.303084406912304</v>
      </c>
      <c r="AO312" s="10">
        <f t="shared" si="107"/>
        <v>1.3012744043927085</v>
      </c>
      <c r="AP312" s="10">
        <f t="shared" si="107"/>
        <v>1.299464401873113</v>
      </c>
      <c r="AQ312" s="10">
        <f t="shared" si="107"/>
        <v>1.2976543993535175</v>
      </c>
      <c r="AR312" s="10">
        <f t="shared" si="107"/>
        <v>1.2958443968339219</v>
      </c>
      <c r="AS312" s="10">
        <f t="shared" si="107"/>
        <v>1.2940343943143264</v>
      </c>
      <c r="AT312" s="10">
        <f t="shared" si="107"/>
        <v>1.2922243917947309</v>
      </c>
      <c r="AU312" s="10">
        <f t="shared" si="107"/>
        <v>1.2904143892751354</v>
      </c>
      <c r="AV312" s="10">
        <f t="shared" si="107"/>
        <v>1.2886043867555399</v>
      </c>
      <c r="AW312" s="10">
        <f t="shared" si="107"/>
        <v>1.2867943842359444</v>
      </c>
      <c r="AX312" s="10">
        <f t="shared" si="107"/>
        <v>1.2849843817163504</v>
      </c>
      <c r="AY312" s="10">
        <f t="shared" si="107"/>
        <v>1.2849843817163504</v>
      </c>
      <c r="AZ312" s="10">
        <f t="shared" si="107"/>
        <v>1.2849843817163504</v>
      </c>
      <c r="BA312" s="10">
        <f t="shared" si="107"/>
        <v>1.2849843817163504</v>
      </c>
      <c r="BB312" s="10">
        <f t="shared" si="107"/>
        <v>1.2849843817163504</v>
      </c>
      <c r="BC312" s="10">
        <f t="shared" si="107"/>
        <v>1.2849843817163504</v>
      </c>
      <c r="BD312" s="10">
        <f t="shared" si="107"/>
        <v>1.2849843817163504</v>
      </c>
      <c r="BE312" s="10">
        <f t="shared" si="107"/>
        <v>1.2849843817163504</v>
      </c>
      <c r="BF312" s="10">
        <f t="shared" si="107"/>
        <v>1.2849843817163504</v>
      </c>
      <c r="BG312" s="10">
        <f t="shared" si="107"/>
        <v>1.2849843817163504</v>
      </c>
      <c r="BH312" s="10">
        <f t="shared" si="107"/>
        <v>1.2849843817163504</v>
      </c>
      <c r="BI312" s="10">
        <f t="shared" si="107"/>
        <v>1.2849843817163504</v>
      </c>
    </row>
    <row r="313" spans="1:61" s="592" customFormat="1">
      <c r="A313" s="8" t="str">
        <f t="shared" si="97"/>
        <v>Prędkość 100,00÷109,99 km/h</v>
      </c>
      <c r="B313" s="110" t="s">
        <v>25</v>
      </c>
      <c r="C313" s="13"/>
      <c r="D313" s="13"/>
      <c r="E313" s="13"/>
      <c r="F313" s="13"/>
      <c r="G313" s="13"/>
      <c r="H313" s="13"/>
      <c r="I313" s="13"/>
      <c r="J313" s="13"/>
      <c r="K313" s="13"/>
      <c r="L313" s="13"/>
      <c r="M313" s="13"/>
      <c r="N313" s="13"/>
      <c r="O313" s="13"/>
      <c r="P313" s="13"/>
      <c r="Q313" s="78"/>
      <c r="R313" s="78"/>
      <c r="S313" s="78"/>
      <c r="T313" s="10">
        <f t="shared" ref="T313:BI313" si="108">($T183*$T$205*T$215)*U$50+T$286*U$53</f>
        <v>0.96850133454451381</v>
      </c>
      <c r="U313" s="10">
        <f t="shared" si="108"/>
        <v>1.000619589131847</v>
      </c>
      <c r="V313" s="10">
        <f t="shared" si="108"/>
        <v>1.0507990470602446</v>
      </c>
      <c r="W313" s="10">
        <f t="shared" si="108"/>
        <v>1.2011392603986986</v>
      </c>
      <c r="X313" s="10">
        <f t="shared" si="108"/>
        <v>1.3369831538099715</v>
      </c>
      <c r="Y313" s="10">
        <f t="shared" si="108"/>
        <v>1.3358971715357926</v>
      </c>
      <c r="Z313" s="10">
        <f t="shared" si="108"/>
        <v>1.3348111892616137</v>
      </c>
      <c r="AA313" s="10">
        <f t="shared" si="108"/>
        <v>1.3337252069874352</v>
      </c>
      <c r="AB313" s="10">
        <f t="shared" si="108"/>
        <v>1.3326392247132564</v>
      </c>
      <c r="AC313" s="10">
        <f t="shared" si="108"/>
        <v>1.3315532424390775</v>
      </c>
      <c r="AD313" s="10">
        <f t="shared" si="108"/>
        <v>1.3304672601648995</v>
      </c>
      <c r="AE313" s="10">
        <f t="shared" si="108"/>
        <v>1.3285298956334641</v>
      </c>
      <c r="AF313" s="10">
        <f t="shared" si="108"/>
        <v>1.3265925311020286</v>
      </c>
      <c r="AG313" s="10">
        <f t="shared" si="108"/>
        <v>1.324655166570593</v>
      </c>
      <c r="AH313" s="10">
        <f t="shared" si="108"/>
        <v>1.3227178020391575</v>
      </c>
      <c r="AI313" s="10">
        <f t="shared" si="108"/>
        <v>1.3207804375077221</v>
      </c>
      <c r="AJ313" s="10">
        <f t="shared" si="108"/>
        <v>1.3188430729762866</v>
      </c>
      <c r="AK313" s="10">
        <f t="shared" si="108"/>
        <v>1.3169057084448508</v>
      </c>
      <c r="AL313" s="10">
        <f t="shared" si="108"/>
        <v>1.3149683439134152</v>
      </c>
      <c r="AM313" s="10">
        <f t="shared" si="108"/>
        <v>1.3130309793819797</v>
      </c>
      <c r="AN313" s="10">
        <f t="shared" si="108"/>
        <v>1.3110936148505443</v>
      </c>
      <c r="AO313" s="10">
        <f t="shared" si="108"/>
        <v>1.3091562503191088</v>
      </c>
      <c r="AP313" s="10">
        <f t="shared" si="108"/>
        <v>1.3072188857876732</v>
      </c>
      <c r="AQ313" s="10">
        <f t="shared" si="108"/>
        <v>1.3052815212562376</v>
      </c>
      <c r="AR313" s="10">
        <f t="shared" si="108"/>
        <v>1.3033441567248021</v>
      </c>
      <c r="AS313" s="10">
        <f t="shared" si="108"/>
        <v>1.3014067921933665</v>
      </c>
      <c r="AT313" s="10">
        <f t="shared" si="108"/>
        <v>1.2994694276619312</v>
      </c>
      <c r="AU313" s="10">
        <f t="shared" si="108"/>
        <v>1.2975320631304956</v>
      </c>
      <c r="AV313" s="10">
        <f t="shared" si="108"/>
        <v>1.2955946985990601</v>
      </c>
      <c r="AW313" s="10">
        <f t="shared" si="108"/>
        <v>1.2936573340676245</v>
      </c>
      <c r="AX313" s="10">
        <f t="shared" si="108"/>
        <v>1.2917199695361907</v>
      </c>
      <c r="AY313" s="10">
        <f t="shared" si="108"/>
        <v>1.2917199695361907</v>
      </c>
      <c r="AZ313" s="10">
        <f t="shared" si="108"/>
        <v>1.2917199695361907</v>
      </c>
      <c r="BA313" s="10">
        <f t="shared" si="108"/>
        <v>1.2917199695361907</v>
      </c>
      <c r="BB313" s="10">
        <f t="shared" si="108"/>
        <v>1.2917199695361907</v>
      </c>
      <c r="BC313" s="10">
        <f t="shared" si="108"/>
        <v>1.2917199695361907</v>
      </c>
      <c r="BD313" s="10">
        <f t="shared" si="108"/>
        <v>1.2917199695361907</v>
      </c>
      <c r="BE313" s="10">
        <f t="shared" si="108"/>
        <v>1.2917199695361907</v>
      </c>
      <c r="BF313" s="10">
        <f t="shared" si="108"/>
        <v>1.2917199695361907</v>
      </c>
      <c r="BG313" s="10">
        <f t="shared" si="108"/>
        <v>1.2917199695361907</v>
      </c>
      <c r="BH313" s="10">
        <f t="shared" si="108"/>
        <v>1.2917199695361907</v>
      </c>
      <c r="BI313" s="10">
        <f t="shared" si="108"/>
        <v>1.2917199695361907</v>
      </c>
    </row>
    <row r="314" spans="1:61" s="592" customFormat="1">
      <c r="A314" s="8" t="str">
        <f t="shared" si="97"/>
        <v>Prędkość 110,00÷119,99 km/h</v>
      </c>
      <c r="B314" s="110" t="s">
        <v>25</v>
      </c>
      <c r="C314" s="13"/>
      <c r="D314" s="13"/>
      <c r="E314" s="13"/>
      <c r="F314" s="13"/>
      <c r="G314" s="13"/>
      <c r="H314" s="13"/>
      <c r="I314" s="13"/>
      <c r="J314" s="13"/>
      <c r="K314" s="13"/>
      <c r="L314" s="13"/>
      <c r="M314" s="13"/>
      <c r="N314" s="13"/>
      <c r="O314" s="13"/>
      <c r="P314" s="13"/>
      <c r="Q314" s="78"/>
      <c r="R314" s="78"/>
      <c r="S314" s="78"/>
      <c r="T314" s="10">
        <f t="shared" ref="T314:BI314" si="109">($T184*$T$205*T$215)*U$50+T$286*U$53</f>
        <v>0.97981029308481604</v>
      </c>
      <c r="U314" s="10">
        <f t="shared" si="109"/>
        <v>1.0122295428206414</v>
      </c>
      <c r="V314" s="10">
        <f t="shared" si="109"/>
        <v>1.0629133399637536</v>
      </c>
      <c r="W314" s="10">
        <f t="shared" si="109"/>
        <v>1.2148976044039272</v>
      </c>
      <c r="X314" s="10">
        <f t="shared" si="109"/>
        <v>1.352198095548703</v>
      </c>
      <c r="Y314" s="10">
        <f t="shared" si="109"/>
        <v>1.3510002597914306</v>
      </c>
      <c r="Z314" s="10">
        <f t="shared" si="109"/>
        <v>1.3498024240341584</v>
      </c>
      <c r="AA314" s="10">
        <f t="shared" si="109"/>
        <v>1.3486045882768865</v>
      </c>
      <c r="AB314" s="10">
        <f t="shared" si="109"/>
        <v>1.3474067525196143</v>
      </c>
      <c r="AC314" s="10">
        <f t="shared" si="109"/>
        <v>1.3462089167623419</v>
      </c>
      <c r="AD314" s="10">
        <f t="shared" si="109"/>
        <v>1.3450110810050706</v>
      </c>
      <c r="AE314" s="10">
        <f t="shared" si="109"/>
        <v>1.3428741727278346</v>
      </c>
      <c r="AF314" s="10">
        <f t="shared" si="109"/>
        <v>1.3407372644505984</v>
      </c>
      <c r="AG314" s="10">
        <f t="shared" si="109"/>
        <v>1.3386003561733621</v>
      </c>
      <c r="AH314" s="10">
        <f t="shared" si="109"/>
        <v>1.3364634478961259</v>
      </c>
      <c r="AI314" s="10">
        <f t="shared" si="109"/>
        <v>1.3343265396188899</v>
      </c>
      <c r="AJ314" s="10">
        <f t="shared" si="109"/>
        <v>1.3321896313416539</v>
      </c>
      <c r="AK314" s="10">
        <f t="shared" si="109"/>
        <v>1.3300527230644177</v>
      </c>
      <c r="AL314" s="10">
        <f t="shared" si="109"/>
        <v>1.3279158147871815</v>
      </c>
      <c r="AM314" s="10">
        <f t="shared" si="109"/>
        <v>1.3257789065099452</v>
      </c>
      <c r="AN314" s="10">
        <f t="shared" si="109"/>
        <v>1.3236419982327092</v>
      </c>
      <c r="AO314" s="10">
        <f t="shared" si="109"/>
        <v>1.3215050899554732</v>
      </c>
      <c r="AP314" s="10">
        <f t="shared" si="109"/>
        <v>1.319368181678237</v>
      </c>
      <c r="AQ314" s="10">
        <f t="shared" si="109"/>
        <v>1.3172312734010008</v>
      </c>
      <c r="AR314" s="10">
        <f t="shared" si="109"/>
        <v>1.3150943651237645</v>
      </c>
      <c r="AS314" s="10">
        <f t="shared" si="109"/>
        <v>1.3129574568465285</v>
      </c>
      <c r="AT314" s="10">
        <f t="shared" si="109"/>
        <v>1.3108205485692923</v>
      </c>
      <c r="AU314" s="10">
        <f t="shared" si="109"/>
        <v>1.3086836402920563</v>
      </c>
      <c r="AV314" s="10">
        <f t="shared" si="109"/>
        <v>1.3065467320148201</v>
      </c>
      <c r="AW314" s="10">
        <f t="shared" si="109"/>
        <v>1.3044098237375841</v>
      </c>
      <c r="AX314" s="10">
        <f t="shared" si="109"/>
        <v>1.3022729154603496</v>
      </c>
      <c r="AY314" s="10">
        <f t="shared" si="109"/>
        <v>1.3022729154603496</v>
      </c>
      <c r="AZ314" s="10">
        <f t="shared" si="109"/>
        <v>1.3022729154603496</v>
      </c>
      <c r="BA314" s="10">
        <f t="shared" si="109"/>
        <v>1.3022729154603496</v>
      </c>
      <c r="BB314" s="10">
        <f t="shared" si="109"/>
        <v>1.3022729154603496</v>
      </c>
      <c r="BC314" s="10">
        <f t="shared" si="109"/>
        <v>1.3022729154603496</v>
      </c>
      <c r="BD314" s="10">
        <f t="shared" si="109"/>
        <v>1.3022729154603496</v>
      </c>
      <c r="BE314" s="10">
        <f t="shared" si="109"/>
        <v>1.3022729154603496</v>
      </c>
      <c r="BF314" s="10">
        <f t="shared" si="109"/>
        <v>1.3022729154603496</v>
      </c>
      <c r="BG314" s="10">
        <f t="shared" si="109"/>
        <v>1.3022729154603496</v>
      </c>
      <c r="BH314" s="10">
        <f t="shared" si="109"/>
        <v>1.3022729154603496</v>
      </c>
      <c r="BI314" s="10">
        <f t="shared" si="109"/>
        <v>1.3022729154603496</v>
      </c>
    </row>
    <row r="315" spans="1:61" s="592" customFormat="1">
      <c r="A315" s="8" t="str">
        <f t="shared" si="97"/>
        <v>Prędkość 120,00÷129,99 km/h</v>
      </c>
      <c r="B315" s="110" t="s">
        <v>25</v>
      </c>
      <c r="C315" s="13"/>
      <c r="D315" s="13"/>
      <c r="E315" s="13"/>
      <c r="F315" s="13"/>
      <c r="G315" s="13"/>
      <c r="H315" s="13"/>
      <c r="I315" s="13"/>
      <c r="J315" s="13"/>
      <c r="K315" s="13"/>
      <c r="L315" s="13"/>
      <c r="M315" s="13"/>
      <c r="N315" s="13"/>
      <c r="O315" s="13"/>
      <c r="P315" s="13"/>
      <c r="Q315" s="78"/>
      <c r="R315" s="78"/>
      <c r="S315" s="78"/>
      <c r="T315" s="10">
        <f t="shared" ref="T315:BI315" si="110">($T185*$T$205*T$215)*U$50+T$286*U$53</f>
        <v>0.99489786926169399</v>
      </c>
      <c r="U315" s="10">
        <f t="shared" si="110"/>
        <v>1.0277186844657773</v>
      </c>
      <c r="V315" s="10">
        <f t="shared" si="110"/>
        <v>1.079075333692826</v>
      </c>
      <c r="W315" s="10">
        <f t="shared" si="110"/>
        <v>1.2332529695338657</v>
      </c>
      <c r="X315" s="10">
        <f t="shared" si="110"/>
        <v>1.3724967456579762</v>
      </c>
      <c r="Y315" s="10">
        <f t="shared" si="110"/>
        <v>1.3711496832552257</v>
      </c>
      <c r="Z315" s="10">
        <f t="shared" si="110"/>
        <v>1.3698026208524756</v>
      </c>
      <c r="AA315" s="10">
        <f t="shared" si="110"/>
        <v>1.3684555584497251</v>
      </c>
      <c r="AB315" s="10">
        <f t="shared" si="110"/>
        <v>1.3671084960469748</v>
      </c>
      <c r="AC315" s="10">
        <f t="shared" si="110"/>
        <v>1.3657614336442243</v>
      </c>
      <c r="AD315" s="10">
        <f t="shared" si="110"/>
        <v>1.3644143712414747</v>
      </c>
      <c r="AE315" s="10">
        <f t="shared" si="110"/>
        <v>1.36201124645503</v>
      </c>
      <c r="AF315" s="10">
        <f t="shared" si="110"/>
        <v>1.3596081216685849</v>
      </c>
      <c r="AG315" s="10">
        <f t="shared" si="110"/>
        <v>1.35720499688214</v>
      </c>
      <c r="AH315" s="10">
        <f t="shared" si="110"/>
        <v>1.3548018720956951</v>
      </c>
      <c r="AI315" s="10">
        <f t="shared" si="110"/>
        <v>1.35239874730925</v>
      </c>
      <c r="AJ315" s="10">
        <f t="shared" si="110"/>
        <v>1.3499956225228054</v>
      </c>
      <c r="AK315" s="10">
        <f t="shared" si="110"/>
        <v>1.3475924977363603</v>
      </c>
      <c r="AL315" s="10">
        <f t="shared" si="110"/>
        <v>1.3451893729499154</v>
      </c>
      <c r="AM315" s="10">
        <f t="shared" si="110"/>
        <v>1.3427862481634703</v>
      </c>
      <c r="AN315" s="10">
        <f t="shared" si="110"/>
        <v>1.3403831233770256</v>
      </c>
      <c r="AO315" s="10">
        <f t="shared" si="110"/>
        <v>1.3379799985905807</v>
      </c>
      <c r="AP315" s="10">
        <f t="shared" si="110"/>
        <v>1.3355768738041356</v>
      </c>
      <c r="AQ315" s="10">
        <f t="shared" si="110"/>
        <v>1.3331737490176907</v>
      </c>
      <c r="AR315" s="10">
        <f t="shared" si="110"/>
        <v>1.3307706242312456</v>
      </c>
      <c r="AS315" s="10">
        <f t="shared" si="110"/>
        <v>1.3283674994448007</v>
      </c>
      <c r="AT315" s="10">
        <f t="shared" si="110"/>
        <v>1.3259643746583558</v>
      </c>
      <c r="AU315" s="10">
        <f t="shared" si="110"/>
        <v>1.3235612498719109</v>
      </c>
      <c r="AV315" s="10">
        <f t="shared" si="110"/>
        <v>1.321158125085466</v>
      </c>
      <c r="AW315" s="10">
        <f t="shared" si="110"/>
        <v>1.3187550002990209</v>
      </c>
      <c r="AX315" s="10">
        <f t="shared" si="110"/>
        <v>1.3163518755125778</v>
      </c>
      <c r="AY315" s="10">
        <f t="shared" si="110"/>
        <v>1.3163518755125778</v>
      </c>
      <c r="AZ315" s="10">
        <f t="shared" si="110"/>
        <v>1.3163518755125778</v>
      </c>
      <c r="BA315" s="10">
        <f t="shared" si="110"/>
        <v>1.3163518755125778</v>
      </c>
      <c r="BB315" s="10">
        <f t="shared" si="110"/>
        <v>1.3163518755125778</v>
      </c>
      <c r="BC315" s="10">
        <f t="shared" si="110"/>
        <v>1.3163518755125778</v>
      </c>
      <c r="BD315" s="10">
        <f t="shared" si="110"/>
        <v>1.3163518755125778</v>
      </c>
      <c r="BE315" s="10">
        <f t="shared" si="110"/>
        <v>1.3163518755125778</v>
      </c>
      <c r="BF315" s="10">
        <f t="shared" si="110"/>
        <v>1.3163518755125778</v>
      </c>
      <c r="BG315" s="10">
        <f t="shared" si="110"/>
        <v>1.3163518755125778</v>
      </c>
      <c r="BH315" s="10">
        <f t="shared" si="110"/>
        <v>1.3163518755125778</v>
      </c>
      <c r="BI315" s="10">
        <f t="shared" si="110"/>
        <v>1.3163518755125778</v>
      </c>
    </row>
    <row r="316" spans="1:61" s="592" customFormat="1">
      <c r="A316" s="8" t="str">
        <f t="shared" si="97"/>
        <v>Prędkość 130,00÷139,99 km/h</v>
      </c>
      <c r="B316" s="110" t="s">
        <v>25</v>
      </c>
      <c r="C316" s="13"/>
      <c r="D316" s="13"/>
      <c r="E316" s="13"/>
      <c r="F316" s="13"/>
      <c r="G316" s="13"/>
      <c r="H316" s="13"/>
      <c r="I316" s="13"/>
      <c r="J316" s="13"/>
      <c r="K316" s="13"/>
      <c r="L316" s="13"/>
      <c r="M316" s="13"/>
      <c r="N316" s="13"/>
      <c r="O316" s="13"/>
      <c r="P316" s="13"/>
      <c r="Q316" s="78"/>
      <c r="R316" s="78"/>
      <c r="S316" s="78"/>
      <c r="T316" s="10">
        <f t="shared" ref="T316:BI316" si="111">($T186*$T$205*T$215)*U$50+T$286*U$53</f>
        <v>1.013515457661154</v>
      </c>
      <c r="U316" s="10">
        <f t="shared" si="111"/>
        <v>1.0468317918615173</v>
      </c>
      <c r="V316" s="10">
        <f t="shared" si="111"/>
        <v>1.0990187191269729</v>
      </c>
      <c r="W316" s="10">
        <f t="shared" si="111"/>
        <v>1.2559029054085697</v>
      </c>
      <c r="X316" s="10">
        <f t="shared" si="111"/>
        <v>1.3975446332953732</v>
      </c>
      <c r="Y316" s="10">
        <f t="shared" si="111"/>
        <v>1.3960134299655995</v>
      </c>
      <c r="Z316" s="10">
        <f t="shared" si="111"/>
        <v>1.3944822266358261</v>
      </c>
      <c r="AA316" s="10">
        <f t="shared" si="111"/>
        <v>1.3929510233060525</v>
      </c>
      <c r="AB316" s="10">
        <f t="shared" si="111"/>
        <v>1.3914198199762788</v>
      </c>
      <c r="AC316" s="10">
        <f t="shared" si="111"/>
        <v>1.389888616646505</v>
      </c>
      <c r="AD316" s="10">
        <f t="shared" si="111"/>
        <v>1.3883574133167322</v>
      </c>
      <c r="AE316" s="10">
        <f t="shared" si="111"/>
        <v>1.3856257858380401</v>
      </c>
      <c r="AF316" s="10">
        <f t="shared" si="111"/>
        <v>1.3828941583593479</v>
      </c>
      <c r="AG316" s="10">
        <f t="shared" si="111"/>
        <v>1.3801625308806555</v>
      </c>
      <c r="AH316" s="10">
        <f t="shared" si="111"/>
        <v>1.3774309034019634</v>
      </c>
      <c r="AI316" s="10">
        <f t="shared" si="111"/>
        <v>1.374699275923271</v>
      </c>
      <c r="AJ316" s="10">
        <f t="shared" si="111"/>
        <v>1.3719676484445789</v>
      </c>
      <c r="AK316" s="10">
        <f t="shared" si="111"/>
        <v>1.3692360209658867</v>
      </c>
      <c r="AL316" s="10">
        <f t="shared" si="111"/>
        <v>1.3665043934871943</v>
      </c>
      <c r="AM316" s="10">
        <f t="shared" si="111"/>
        <v>1.3637727660085022</v>
      </c>
      <c r="AN316" s="10">
        <f t="shared" si="111"/>
        <v>1.36104113852981</v>
      </c>
      <c r="AO316" s="10">
        <f t="shared" si="111"/>
        <v>1.3583095110511179</v>
      </c>
      <c r="AP316" s="10">
        <f t="shared" si="111"/>
        <v>1.3555778835724255</v>
      </c>
      <c r="AQ316" s="10">
        <f t="shared" si="111"/>
        <v>1.3528462560937331</v>
      </c>
      <c r="AR316" s="10">
        <f t="shared" si="111"/>
        <v>1.3501146286150409</v>
      </c>
      <c r="AS316" s="10">
        <f t="shared" si="111"/>
        <v>1.3473830011363486</v>
      </c>
      <c r="AT316" s="10">
        <f t="shared" si="111"/>
        <v>1.3446513736576566</v>
      </c>
      <c r="AU316" s="10">
        <f t="shared" si="111"/>
        <v>1.3419197461789643</v>
      </c>
      <c r="AV316" s="10">
        <f t="shared" si="111"/>
        <v>1.3391881187002721</v>
      </c>
      <c r="AW316" s="10">
        <f t="shared" si="111"/>
        <v>1.3364564912215797</v>
      </c>
      <c r="AX316" s="10">
        <f t="shared" si="111"/>
        <v>1.3337248637428893</v>
      </c>
      <c r="AY316" s="10">
        <f t="shared" si="111"/>
        <v>1.3337248637428893</v>
      </c>
      <c r="AZ316" s="10">
        <f t="shared" si="111"/>
        <v>1.3337248637428893</v>
      </c>
      <c r="BA316" s="10">
        <f t="shared" si="111"/>
        <v>1.3337248637428893</v>
      </c>
      <c r="BB316" s="10">
        <f t="shared" si="111"/>
        <v>1.3337248637428893</v>
      </c>
      <c r="BC316" s="10">
        <f t="shared" si="111"/>
        <v>1.3337248637428893</v>
      </c>
      <c r="BD316" s="10">
        <f t="shared" si="111"/>
        <v>1.3337248637428893</v>
      </c>
      <c r="BE316" s="10">
        <f t="shared" si="111"/>
        <v>1.3337248637428893</v>
      </c>
      <c r="BF316" s="10">
        <f t="shared" si="111"/>
        <v>1.3337248637428893</v>
      </c>
      <c r="BG316" s="10">
        <f t="shared" si="111"/>
        <v>1.3337248637428893</v>
      </c>
      <c r="BH316" s="10">
        <f t="shared" si="111"/>
        <v>1.3337248637428893</v>
      </c>
      <c r="BI316" s="10">
        <f t="shared" si="111"/>
        <v>1.3337248637428893</v>
      </c>
    </row>
    <row r="317" spans="1:61" s="592" customFormat="1" ht="30">
      <c r="A317" s="648" t="s">
        <v>514</v>
      </c>
      <c r="B317" s="663"/>
      <c r="C317" s="649"/>
      <c r="D317" s="649"/>
      <c r="E317" s="649"/>
      <c r="F317" s="649"/>
      <c r="G317" s="649"/>
      <c r="H317" s="649"/>
      <c r="I317" s="649"/>
      <c r="J317" s="649"/>
      <c r="K317" s="649"/>
      <c r="L317" s="649"/>
      <c r="M317" s="649"/>
      <c r="N317" s="649"/>
      <c r="O317" s="649"/>
      <c r="P317" s="652"/>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6"/>
      <c r="BE317" s="6"/>
      <c r="BF317" s="6"/>
      <c r="BG317" s="6"/>
      <c r="BH317" s="6"/>
      <c r="BI317" s="6"/>
    </row>
    <row r="318" spans="1:61" s="592" customFormat="1">
      <c r="A318" s="8" t="str">
        <f t="shared" ref="A318:A331" si="112">"Prędkość "&amp;$S173&amp;" km/h"</f>
        <v>Prędkość 0,00÷9,99 km/h</v>
      </c>
      <c r="B318" s="110" t="s">
        <v>25</v>
      </c>
      <c r="C318" s="13"/>
      <c r="D318" s="13"/>
      <c r="E318" s="13"/>
      <c r="F318" s="13"/>
      <c r="G318" s="13"/>
      <c r="H318" s="13"/>
      <c r="I318" s="13"/>
      <c r="J318" s="13"/>
      <c r="K318" s="13"/>
      <c r="L318" s="13"/>
      <c r="M318" s="13"/>
      <c r="N318" s="13"/>
      <c r="O318" s="13"/>
      <c r="P318" s="13"/>
      <c r="Q318" s="78"/>
      <c r="R318" s="78"/>
      <c r="S318" s="78"/>
      <c r="T318" s="10">
        <f t="shared" ref="T318:BI318" si="113">($U173*$U$205*T$215)*U$57+(0)*U$58</f>
        <v>2.9781794511564383</v>
      </c>
      <c r="U318" s="10">
        <f t="shared" si="113"/>
        <v>3.0794375524957571</v>
      </c>
      <c r="V318" s="10">
        <f t="shared" si="113"/>
        <v>3.2364888676730406</v>
      </c>
      <c r="W318" s="10">
        <f t="shared" si="113"/>
        <v>3.702543264617959</v>
      </c>
      <c r="X318" s="10">
        <f t="shared" si="113"/>
        <v>4.1246331967844059</v>
      </c>
      <c r="Y318" s="10">
        <f t="shared" si="113"/>
        <v>4.1246331967844059</v>
      </c>
      <c r="Z318" s="10">
        <f t="shared" si="113"/>
        <v>4.1246331967844059</v>
      </c>
      <c r="AA318" s="10">
        <f t="shared" si="113"/>
        <v>4.1246331967844059</v>
      </c>
      <c r="AB318" s="10">
        <f t="shared" si="113"/>
        <v>4.1246331967844059</v>
      </c>
      <c r="AC318" s="10">
        <f t="shared" si="113"/>
        <v>4.1246331967844059</v>
      </c>
      <c r="AD318" s="10">
        <f t="shared" si="113"/>
        <v>4.1246331967844059</v>
      </c>
      <c r="AE318" s="10">
        <f t="shared" si="113"/>
        <v>4.1246331967844059</v>
      </c>
      <c r="AF318" s="10">
        <f t="shared" si="113"/>
        <v>4.1246331967844059</v>
      </c>
      <c r="AG318" s="10">
        <f t="shared" si="113"/>
        <v>4.1246331967844059</v>
      </c>
      <c r="AH318" s="10">
        <f t="shared" si="113"/>
        <v>4.1246331967844059</v>
      </c>
      <c r="AI318" s="10">
        <f t="shared" si="113"/>
        <v>4.1246331967844059</v>
      </c>
      <c r="AJ318" s="10">
        <f t="shared" si="113"/>
        <v>4.1246331967844059</v>
      </c>
      <c r="AK318" s="10">
        <f t="shared" si="113"/>
        <v>4.1246331967844059</v>
      </c>
      <c r="AL318" s="10">
        <f t="shared" si="113"/>
        <v>4.1246331967844059</v>
      </c>
      <c r="AM318" s="10">
        <f t="shared" si="113"/>
        <v>4.1246331967844059</v>
      </c>
      <c r="AN318" s="10">
        <f t="shared" si="113"/>
        <v>4.1246331967844059</v>
      </c>
      <c r="AO318" s="10">
        <f t="shared" si="113"/>
        <v>4.1246331967844059</v>
      </c>
      <c r="AP318" s="10">
        <f t="shared" si="113"/>
        <v>4.1246331967844059</v>
      </c>
      <c r="AQ318" s="10">
        <f t="shared" si="113"/>
        <v>4.1246331967844059</v>
      </c>
      <c r="AR318" s="10">
        <f t="shared" si="113"/>
        <v>4.1246331967844059</v>
      </c>
      <c r="AS318" s="10">
        <f t="shared" si="113"/>
        <v>4.1246331967844059</v>
      </c>
      <c r="AT318" s="10">
        <f t="shared" si="113"/>
        <v>4.1246331967844059</v>
      </c>
      <c r="AU318" s="10">
        <f t="shared" si="113"/>
        <v>4.1246331967844059</v>
      </c>
      <c r="AV318" s="10">
        <f t="shared" si="113"/>
        <v>4.1246331967844059</v>
      </c>
      <c r="AW318" s="10">
        <f t="shared" si="113"/>
        <v>4.1246331967844059</v>
      </c>
      <c r="AX318" s="10">
        <f t="shared" si="113"/>
        <v>4.1246331967844059</v>
      </c>
      <c r="AY318" s="10">
        <f t="shared" si="113"/>
        <v>4.1246331967844059</v>
      </c>
      <c r="AZ318" s="10">
        <f t="shared" si="113"/>
        <v>4.1246331967844059</v>
      </c>
      <c r="BA318" s="10">
        <f t="shared" si="113"/>
        <v>4.1246331967844059</v>
      </c>
      <c r="BB318" s="10">
        <f t="shared" si="113"/>
        <v>4.1246331967844059</v>
      </c>
      <c r="BC318" s="10">
        <f t="shared" si="113"/>
        <v>4.1246331967844059</v>
      </c>
      <c r="BD318" s="10">
        <f t="shared" si="113"/>
        <v>4.1246331967844059</v>
      </c>
      <c r="BE318" s="10">
        <f t="shared" si="113"/>
        <v>4.1246331967844059</v>
      </c>
      <c r="BF318" s="10">
        <f t="shared" si="113"/>
        <v>4.1246331967844059</v>
      </c>
      <c r="BG318" s="10">
        <f t="shared" si="113"/>
        <v>4.1246331967844059</v>
      </c>
      <c r="BH318" s="10">
        <f t="shared" si="113"/>
        <v>4.1246331967844059</v>
      </c>
      <c r="BI318" s="10">
        <f t="shared" si="113"/>
        <v>4.1246331967844059</v>
      </c>
    </row>
    <row r="319" spans="1:61" s="592" customFormat="1">
      <c r="A319" s="8" t="str">
        <f t="shared" si="112"/>
        <v>Prędkość 10,00÷19,99 km/h</v>
      </c>
      <c r="B319" s="110" t="s">
        <v>25</v>
      </c>
      <c r="C319" s="13"/>
      <c r="D319" s="13"/>
      <c r="E319" s="13"/>
      <c r="F319" s="13"/>
      <c r="G319" s="13"/>
      <c r="H319" s="13"/>
      <c r="I319" s="13"/>
      <c r="J319" s="13"/>
      <c r="K319" s="13"/>
      <c r="L319" s="13"/>
      <c r="M319" s="13"/>
      <c r="N319" s="13"/>
      <c r="O319" s="13"/>
      <c r="P319" s="13"/>
      <c r="Q319" s="78"/>
      <c r="R319" s="78"/>
      <c r="S319" s="78"/>
      <c r="T319" s="10">
        <f t="shared" ref="T319:BI319" si="114">($U174*$U$205*T$215)*U$57+(0)*U$58</f>
        <v>2.3029407221610732</v>
      </c>
      <c r="U319" s="10">
        <f t="shared" si="114"/>
        <v>2.3812407067145496</v>
      </c>
      <c r="V319" s="10">
        <f t="shared" si="114"/>
        <v>2.5026839827569916</v>
      </c>
      <c r="W319" s="10">
        <f t="shared" si="114"/>
        <v>2.8630704762739985</v>
      </c>
      <c r="X319" s="10">
        <f t="shared" si="114"/>
        <v>3.1894605105692344</v>
      </c>
      <c r="Y319" s="10">
        <f t="shared" si="114"/>
        <v>3.1894605105692344</v>
      </c>
      <c r="Z319" s="10">
        <f t="shared" si="114"/>
        <v>3.1894605105692344</v>
      </c>
      <c r="AA319" s="10">
        <f t="shared" si="114"/>
        <v>3.1894605105692344</v>
      </c>
      <c r="AB319" s="10">
        <f t="shared" si="114"/>
        <v>3.1894605105692344</v>
      </c>
      <c r="AC319" s="10">
        <f t="shared" si="114"/>
        <v>3.1894605105692344</v>
      </c>
      <c r="AD319" s="10">
        <f t="shared" si="114"/>
        <v>3.1894605105692344</v>
      </c>
      <c r="AE319" s="10">
        <f t="shared" si="114"/>
        <v>3.1894605105692344</v>
      </c>
      <c r="AF319" s="10">
        <f t="shared" si="114"/>
        <v>3.1894605105692344</v>
      </c>
      <c r="AG319" s="10">
        <f t="shared" si="114"/>
        <v>3.1894605105692344</v>
      </c>
      <c r="AH319" s="10">
        <f t="shared" si="114"/>
        <v>3.1894605105692344</v>
      </c>
      <c r="AI319" s="10">
        <f t="shared" si="114"/>
        <v>3.1894605105692344</v>
      </c>
      <c r="AJ319" s="10">
        <f t="shared" si="114"/>
        <v>3.1894605105692344</v>
      </c>
      <c r="AK319" s="10">
        <f t="shared" si="114"/>
        <v>3.1894605105692344</v>
      </c>
      <c r="AL319" s="10">
        <f t="shared" si="114"/>
        <v>3.1894605105692344</v>
      </c>
      <c r="AM319" s="10">
        <f t="shared" si="114"/>
        <v>3.1894605105692344</v>
      </c>
      <c r="AN319" s="10">
        <f t="shared" si="114"/>
        <v>3.1894605105692344</v>
      </c>
      <c r="AO319" s="10">
        <f t="shared" si="114"/>
        <v>3.1894605105692344</v>
      </c>
      <c r="AP319" s="10">
        <f t="shared" si="114"/>
        <v>3.1894605105692344</v>
      </c>
      <c r="AQ319" s="10">
        <f t="shared" si="114"/>
        <v>3.1894605105692344</v>
      </c>
      <c r="AR319" s="10">
        <f t="shared" si="114"/>
        <v>3.1894605105692344</v>
      </c>
      <c r="AS319" s="10">
        <f t="shared" si="114"/>
        <v>3.1894605105692344</v>
      </c>
      <c r="AT319" s="10">
        <f t="shared" si="114"/>
        <v>3.1894605105692344</v>
      </c>
      <c r="AU319" s="10">
        <f t="shared" si="114"/>
        <v>3.1894605105692344</v>
      </c>
      <c r="AV319" s="10">
        <f t="shared" si="114"/>
        <v>3.1894605105692344</v>
      </c>
      <c r="AW319" s="10">
        <f t="shared" si="114"/>
        <v>3.1894605105692344</v>
      </c>
      <c r="AX319" s="10">
        <f t="shared" si="114"/>
        <v>3.1894605105692344</v>
      </c>
      <c r="AY319" s="10">
        <f t="shared" si="114"/>
        <v>3.1894605105692344</v>
      </c>
      <c r="AZ319" s="10">
        <f t="shared" si="114"/>
        <v>3.1894605105692344</v>
      </c>
      <c r="BA319" s="10">
        <f t="shared" si="114"/>
        <v>3.1894605105692344</v>
      </c>
      <c r="BB319" s="10">
        <f t="shared" si="114"/>
        <v>3.1894605105692344</v>
      </c>
      <c r="BC319" s="10">
        <f t="shared" si="114"/>
        <v>3.1894605105692344</v>
      </c>
      <c r="BD319" s="10">
        <f t="shared" si="114"/>
        <v>3.1894605105692344</v>
      </c>
      <c r="BE319" s="10">
        <f t="shared" si="114"/>
        <v>3.1894605105692344</v>
      </c>
      <c r="BF319" s="10">
        <f t="shared" si="114"/>
        <v>3.1894605105692344</v>
      </c>
      <c r="BG319" s="10">
        <f t="shared" si="114"/>
        <v>3.1894605105692344</v>
      </c>
      <c r="BH319" s="10">
        <f t="shared" si="114"/>
        <v>3.1894605105692344</v>
      </c>
      <c r="BI319" s="10">
        <f t="shared" si="114"/>
        <v>3.1894605105692344</v>
      </c>
    </row>
    <row r="320" spans="1:61" s="592" customFormat="1">
      <c r="A320" s="8" t="str">
        <f t="shared" si="112"/>
        <v>Prędkość 20,00÷29,99 km/h</v>
      </c>
      <c r="B320" s="110" t="s">
        <v>25</v>
      </c>
      <c r="C320" s="13"/>
      <c r="D320" s="13"/>
      <c r="E320" s="13"/>
      <c r="F320" s="13"/>
      <c r="G320" s="13"/>
      <c r="H320" s="13"/>
      <c r="I320" s="13"/>
      <c r="J320" s="13"/>
      <c r="K320" s="13"/>
      <c r="L320" s="13"/>
      <c r="M320" s="13"/>
      <c r="N320" s="13"/>
      <c r="O320" s="13"/>
      <c r="P320" s="13"/>
      <c r="Q320" s="78"/>
      <c r="R320" s="78"/>
      <c r="S320" s="78"/>
      <c r="T320" s="10">
        <f t="shared" ref="T320:BI320" si="115">($U175*$U$205*T$215)*U$57+(0)*U$58</f>
        <v>2.0996974545050899</v>
      </c>
      <c r="U320" s="10">
        <f t="shared" si="115"/>
        <v>2.1710871679582628</v>
      </c>
      <c r="V320" s="10">
        <f t="shared" si="115"/>
        <v>2.2818126135241341</v>
      </c>
      <c r="W320" s="10">
        <f t="shared" si="115"/>
        <v>2.6103936298716097</v>
      </c>
      <c r="X320" s="10">
        <f t="shared" si="115"/>
        <v>2.9079785036769734</v>
      </c>
      <c r="Y320" s="10">
        <f t="shared" si="115"/>
        <v>2.9079785036769734</v>
      </c>
      <c r="Z320" s="10">
        <f t="shared" si="115"/>
        <v>2.9079785036769734</v>
      </c>
      <c r="AA320" s="10">
        <f t="shared" si="115"/>
        <v>2.9079785036769734</v>
      </c>
      <c r="AB320" s="10">
        <f t="shared" si="115"/>
        <v>2.9079785036769734</v>
      </c>
      <c r="AC320" s="10">
        <f t="shared" si="115"/>
        <v>2.9079785036769734</v>
      </c>
      <c r="AD320" s="10">
        <f t="shared" si="115"/>
        <v>2.9079785036769734</v>
      </c>
      <c r="AE320" s="10">
        <f t="shared" si="115"/>
        <v>2.9079785036769734</v>
      </c>
      <c r="AF320" s="10">
        <f t="shared" si="115"/>
        <v>2.9079785036769734</v>
      </c>
      <c r="AG320" s="10">
        <f t="shared" si="115"/>
        <v>2.9079785036769734</v>
      </c>
      <c r="AH320" s="10">
        <f t="shared" si="115"/>
        <v>2.9079785036769734</v>
      </c>
      <c r="AI320" s="10">
        <f t="shared" si="115"/>
        <v>2.9079785036769734</v>
      </c>
      <c r="AJ320" s="10">
        <f t="shared" si="115"/>
        <v>2.9079785036769734</v>
      </c>
      <c r="AK320" s="10">
        <f t="shared" si="115"/>
        <v>2.9079785036769734</v>
      </c>
      <c r="AL320" s="10">
        <f t="shared" si="115"/>
        <v>2.9079785036769734</v>
      </c>
      <c r="AM320" s="10">
        <f t="shared" si="115"/>
        <v>2.9079785036769734</v>
      </c>
      <c r="AN320" s="10">
        <f t="shared" si="115"/>
        <v>2.9079785036769734</v>
      </c>
      <c r="AO320" s="10">
        <f t="shared" si="115"/>
        <v>2.9079785036769734</v>
      </c>
      <c r="AP320" s="10">
        <f t="shared" si="115"/>
        <v>2.9079785036769734</v>
      </c>
      <c r="AQ320" s="10">
        <f t="shared" si="115"/>
        <v>2.9079785036769734</v>
      </c>
      <c r="AR320" s="10">
        <f t="shared" si="115"/>
        <v>2.9079785036769734</v>
      </c>
      <c r="AS320" s="10">
        <f t="shared" si="115"/>
        <v>2.9079785036769734</v>
      </c>
      <c r="AT320" s="10">
        <f t="shared" si="115"/>
        <v>2.9079785036769734</v>
      </c>
      <c r="AU320" s="10">
        <f t="shared" si="115"/>
        <v>2.9079785036769734</v>
      </c>
      <c r="AV320" s="10">
        <f t="shared" si="115"/>
        <v>2.9079785036769734</v>
      </c>
      <c r="AW320" s="10">
        <f t="shared" si="115"/>
        <v>2.9079785036769734</v>
      </c>
      <c r="AX320" s="10">
        <f t="shared" si="115"/>
        <v>2.9079785036769734</v>
      </c>
      <c r="AY320" s="10">
        <f t="shared" si="115"/>
        <v>2.9079785036769734</v>
      </c>
      <c r="AZ320" s="10">
        <f t="shared" si="115"/>
        <v>2.9079785036769734</v>
      </c>
      <c r="BA320" s="10">
        <f t="shared" si="115"/>
        <v>2.9079785036769734</v>
      </c>
      <c r="BB320" s="10">
        <f t="shared" si="115"/>
        <v>2.9079785036769734</v>
      </c>
      <c r="BC320" s="10">
        <f t="shared" si="115"/>
        <v>2.9079785036769734</v>
      </c>
      <c r="BD320" s="10">
        <f t="shared" si="115"/>
        <v>2.9079785036769734</v>
      </c>
      <c r="BE320" s="10">
        <f t="shared" si="115"/>
        <v>2.9079785036769734</v>
      </c>
      <c r="BF320" s="10">
        <f t="shared" si="115"/>
        <v>2.9079785036769734</v>
      </c>
      <c r="BG320" s="10">
        <f t="shared" si="115"/>
        <v>2.9079785036769734</v>
      </c>
      <c r="BH320" s="10">
        <f t="shared" si="115"/>
        <v>2.9079785036769734</v>
      </c>
      <c r="BI320" s="10">
        <f t="shared" si="115"/>
        <v>2.9079785036769734</v>
      </c>
    </row>
    <row r="321" spans="1:61" s="592" customFormat="1">
      <c r="A321" s="8" t="str">
        <f t="shared" si="112"/>
        <v>Prędkość 30,00÷39,99 km/h</v>
      </c>
      <c r="B321" s="110" t="s">
        <v>25</v>
      </c>
      <c r="C321" s="13"/>
      <c r="D321" s="13"/>
      <c r="E321" s="13"/>
      <c r="F321" s="13"/>
      <c r="G321" s="13"/>
      <c r="H321" s="13"/>
      <c r="I321" s="13"/>
      <c r="J321" s="13"/>
      <c r="K321" s="13"/>
      <c r="L321" s="13"/>
      <c r="M321" s="13"/>
      <c r="N321" s="13"/>
      <c r="O321" s="13"/>
      <c r="P321" s="13"/>
      <c r="Q321" s="78"/>
      <c r="R321" s="78"/>
      <c r="S321" s="78"/>
      <c r="T321" s="10">
        <f t="shared" ref="T321:BI321" si="116">($U176*$U$205*T$215)*U$57+(0)*U$58</f>
        <v>1.9965228984518499</v>
      </c>
      <c r="U321" s="10">
        <f t="shared" si="116"/>
        <v>2.0644046769992128</v>
      </c>
      <c r="V321" s="10">
        <f t="shared" si="116"/>
        <v>2.1696893155261723</v>
      </c>
      <c r="W321" s="10">
        <f t="shared" si="116"/>
        <v>2.4821245769619416</v>
      </c>
      <c r="X321" s="10">
        <f t="shared" si="116"/>
        <v>2.7650867787356028</v>
      </c>
      <c r="Y321" s="10">
        <f t="shared" si="116"/>
        <v>2.7650867787356028</v>
      </c>
      <c r="Z321" s="10">
        <f t="shared" si="116"/>
        <v>2.7650867787356028</v>
      </c>
      <c r="AA321" s="10">
        <f t="shared" si="116"/>
        <v>2.7650867787356028</v>
      </c>
      <c r="AB321" s="10">
        <f t="shared" si="116"/>
        <v>2.7650867787356028</v>
      </c>
      <c r="AC321" s="10">
        <f t="shared" si="116"/>
        <v>2.7650867787356028</v>
      </c>
      <c r="AD321" s="10">
        <f t="shared" si="116"/>
        <v>2.7650867787356028</v>
      </c>
      <c r="AE321" s="10">
        <f t="shared" si="116"/>
        <v>2.7650867787356028</v>
      </c>
      <c r="AF321" s="10">
        <f t="shared" si="116"/>
        <v>2.7650867787356028</v>
      </c>
      <c r="AG321" s="10">
        <f t="shared" si="116"/>
        <v>2.7650867787356028</v>
      </c>
      <c r="AH321" s="10">
        <f t="shared" si="116"/>
        <v>2.7650867787356028</v>
      </c>
      <c r="AI321" s="10">
        <f t="shared" si="116"/>
        <v>2.7650867787356028</v>
      </c>
      <c r="AJ321" s="10">
        <f t="shared" si="116"/>
        <v>2.7650867787356028</v>
      </c>
      <c r="AK321" s="10">
        <f t="shared" si="116"/>
        <v>2.7650867787356028</v>
      </c>
      <c r="AL321" s="10">
        <f t="shared" si="116"/>
        <v>2.7650867787356028</v>
      </c>
      <c r="AM321" s="10">
        <f t="shared" si="116"/>
        <v>2.7650867787356028</v>
      </c>
      <c r="AN321" s="10">
        <f t="shared" si="116"/>
        <v>2.7650867787356028</v>
      </c>
      <c r="AO321" s="10">
        <f t="shared" si="116"/>
        <v>2.7650867787356028</v>
      </c>
      <c r="AP321" s="10">
        <f t="shared" si="116"/>
        <v>2.7650867787356028</v>
      </c>
      <c r="AQ321" s="10">
        <f t="shared" si="116"/>
        <v>2.7650867787356028</v>
      </c>
      <c r="AR321" s="10">
        <f t="shared" si="116"/>
        <v>2.7650867787356028</v>
      </c>
      <c r="AS321" s="10">
        <f t="shared" si="116"/>
        <v>2.7650867787356028</v>
      </c>
      <c r="AT321" s="10">
        <f t="shared" si="116"/>
        <v>2.7650867787356028</v>
      </c>
      <c r="AU321" s="10">
        <f t="shared" si="116"/>
        <v>2.7650867787356028</v>
      </c>
      <c r="AV321" s="10">
        <f t="shared" si="116"/>
        <v>2.7650867787356028</v>
      </c>
      <c r="AW321" s="10">
        <f t="shared" si="116"/>
        <v>2.7650867787356028</v>
      </c>
      <c r="AX321" s="10">
        <f t="shared" si="116"/>
        <v>2.7650867787356028</v>
      </c>
      <c r="AY321" s="10">
        <f t="shared" si="116"/>
        <v>2.7650867787356028</v>
      </c>
      <c r="AZ321" s="10">
        <f t="shared" si="116"/>
        <v>2.7650867787356028</v>
      </c>
      <c r="BA321" s="10">
        <f t="shared" si="116"/>
        <v>2.7650867787356028</v>
      </c>
      <c r="BB321" s="10">
        <f t="shared" si="116"/>
        <v>2.7650867787356028</v>
      </c>
      <c r="BC321" s="10">
        <f t="shared" si="116"/>
        <v>2.7650867787356028</v>
      </c>
      <c r="BD321" s="10">
        <f t="shared" si="116"/>
        <v>2.7650867787356028</v>
      </c>
      <c r="BE321" s="10">
        <f t="shared" si="116"/>
        <v>2.7650867787356028</v>
      </c>
      <c r="BF321" s="10">
        <f t="shared" si="116"/>
        <v>2.7650867787356028</v>
      </c>
      <c r="BG321" s="10">
        <f t="shared" si="116"/>
        <v>2.7650867787356028</v>
      </c>
      <c r="BH321" s="10">
        <f t="shared" si="116"/>
        <v>2.7650867787356028</v>
      </c>
      <c r="BI321" s="10">
        <f t="shared" si="116"/>
        <v>2.7650867787356028</v>
      </c>
    </row>
    <row r="322" spans="1:61" s="592" customFormat="1">
      <c r="A322" s="8" t="str">
        <f t="shared" si="112"/>
        <v>Prędkość 40,00÷49,99 km/h</v>
      </c>
      <c r="B322" s="110" t="s">
        <v>25</v>
      </c>
      <c r="C322" s="13"/>
      <c r="D322" s="13"/>
      <c r="E322" s="13"/>
      <c r="F322" s="13"/>
      <c r="G322" s="13"/>
      <c r="H322" s="13"/>
      <c r="I322" s="13"/>
      <c r="J322" s="13"/>
      <c r="K322" s="13"/>
      <c r="L322" s="13"/>
      <c r="M322" s="13"/>
      <c r="N322" s="13"/>
      <c r="O322" s="13"/>
      <c r="P322" s="13"/>
      <c r="Q322" s="78"/>
      <c r="R322" s="78"/>
      <c r="S322" s="78"/>
      <c r="T322" s="10">
        <f t="shared" ref="T322:BI322" si="117">($U177*$U$205*T$215)*U$57+(0)*U$58</f>
        <v>1.939886399703517</v>
      </c>
      <c r="U322" s="10">
        <f t="shared" si="117"/>
        <v>2.0058425372934368</v>
      </c>
      <c r="V322" s="10">
        <f t="shared" si="117"/>
        <v>2.1081405066954013</v>
      </c>
      <c r="W322" s="10">
        <f t="shared" si="117"/>
        <v>2.4117127396595399</v>
      </c>
      <c r="X322" s="10">
        <f t="shared" si="117"/>
        <v>2.6866479919807271</v>
      </c>
      <c r="Y322" s="10">
        <f t="shared" si="117"/>
        <v>2.6866479919807271</v>
      </c>
      <c r="Z322" s="10">
        <f t="shared" si="117"/>
        <v>2.6866479919807271</v>
      </c>
      <c r="AA322" s="10">
        <f t="shared" si="117"/>
        <v>2.6866479919807271</v>
      </c>
      <c r="AB322" s="10">
        <f t="shared" si="117"/>
        <v>2.6866479919807271</v>
      </c>
      <c r="AC322" s="10">
        <f t="shared" si="117"/>
        <v>2.6866479919807271</v>
      </c>
      <c r="AD322" s="10">
        <f t="shared" si="117"/>
        <v>2.6866479919807271</v>
      </c>
      <c r="AE322" s="10">
        <f t="shared" si="117"/>
        <v>2.6866479919807271</v>
      </c>
      <c r="AF322" s="10">
        <f t="shared" si="117"/>
        <v>2.6866479919807271</v>
      </c>
      <c r="AG322" s="10">
        <f t="shared" si="117"/>
        <v>2.6866479919807271</v>
      </c>
      <c r="AH322" s="10">
        <f t="shared" si="117"/>
        <v>2.6866479919807271</v>
      </c>
      <c r="AI322" s="10">
        <f t="shared" si="117"/>
        <v>2.6866479919807271</v>
      </c>
      <c r="AJ322" s="10">
        <f t="shared" si="117"/>
        <v>2.6866479919807271</v>
      </c>
      <c r="AK322" s="10">
        <f t="shared" si="117"/>
        <v>2.6866479919807271</v>
      </c>
      <c r="AL322" s="10">
        <f t="shared" si="117"/>
        <v>2.6866479919807271</v>
      </c>
      <c r="AM322" s="10">
        <f t="shared" si="117"/>
        <v>2.6866479919807271</v>
      </c>
      <c r="AN322" s="10">
        <f t="shared" si="117"/>
        <v>2.6866479919807271</v>
      </c>
      <c r="AO322" s="10">
        <f t="shared" si="117"/>
        <v>2.6866479919807271</v>
      </c>
      <c r="AP322" s="10">
        <f t="shared" si="117"/>
        <v>2.6866479919807271</v>
      </c>
      <c r="AQ322" s="10">
        <f t="shared" si="117"/>
        <v>2.6866479919807271</v>
      </c>
      <c r="AR322" s="10">
        <f t="shared" si="117"/>
        <v>2.6866479919807271</v>
      </c>
      <c r="AS322" s="10">
        <f t="shared" si="117"/>
        <v>2.6866479919807271</v>
      </c>
      <c r="AT322" s="10">
        <f t="shared" si="117"/>
        <v>2.6866479919807271</v>
      </c>
      <c r="AU322" s="10">
        <f t="shared" si="117"/>
        <v>2.6866479919807271</v>
      </c>
      <c r="AV322" s="10">
        <f t="shared" si="117"/>
        <v>2.6866479919807271</v>
      </c>
      <c r="AW322" s="10">
        <f t="shared" si="117"/>
        <v>2.6866479919807271</v>
      </c>
      <c r="AX322" s="10">
        <f t="shared" si="117"/>
        <v>2.6866479919807271</v>
      </c>
      <c r="AY322" s="10">
        <f t="shared" si="117"/>
        <v>2.6866479919807271</v>
      </c>
      <c r="AZ322" s="10">
        <f t="shared" si="117"/>
        <v>2.6866479919807271</v>
      </c>
      <c r="BA322" s="10">
        <f t="shared" si="117"/>
        <v>2.6866479919807271</v>
      </c>
      <c r="BB322" s="10">
        <f t="shared" si="117"/>
        <v>2.6866479919807271</v>
      </c>
      <c r="BC322" s="10">
        <f t="shared" si="117"/>
        <v>2.6866479919807271</v>
      </c>
      <c r="BD322" s="10">
        <f t="shared" si="117"/>
        <v>2.6866479919807271</v>
      </c>
      <c r="BE322" s="10">
        <f t="shared" si="117"/>
        <v>2.6866479919807271</v>
      </c>
      <c r="BF322" s="10">
        <f t="shared" si="117"/>
        <v>2.6866479919807271</v>
      </c>
      <c r="BG322" s="10">
        <f t="shared" si="117"/>
        <v>2.6866479919807271</v>
      </c>
      <c r="BH322" s="10">
        <f t="shared" si="117"/>
        <v>2.6866479919807271</v>
      </c>
      <c r="BI322" s="10">
        <f t="shared" si="117"/>
        <v>2.6866479919807271</v>
      </c>
    </row>
    <row r="323" spans="1:61" s="592" customFormat="1">
      <c r="A323" s="8" t="str">
        <f t="shared" si="112"/>
        <v>Prędkość 50,00÷59,99 km/h</v>
      </c>
      <c r="B323" s="110" t="s">
        <v>25</v>
      </c>
      <c r="C323" s="13"/>
      <c r="D323" s="13"/>
      <c r="E323" s="13"/>
      <c r="F323" s="13"/>
      <c r="G323" s="13"/>
      <c r="H323" s="13"/>
      <c r="I323" s="13"/>
      <c r="J323" s="13"/>
      <c r="K323" s="13"/>
      <c r="L323" s="13"/>
      <c r="M323" s="13"/>
      <c r="N323" s="13"/>
      <c r="O323" s="13"/>
      <c r="P323" s="13"/>
      <c r="Q323" s="78"/>
      <c r="R323" s="78"/>
      <c r="S323" s="78"/>
      <c r="T323" s="10">
        <f t="shared" ref="T323:BI323" si="118">($U178*$U$205*T$215)*U$57+(0)*U$58</f>
        <v>1.9097575991734939</v>
      </c>
      <c r="U323" s="10">
        <f t="shared" si="118"/>
        <v>1.9746893575453928</v>
      </c>
      <c r="V323" s="10">
        <f t="shared" si="118"/>
        <v>2.0753985147802072</v>
      </c>
      <c r="W323" s="10">
        <f t="shared" si="118"/>
        <v>2.3742559009085578</v>
      </c>
      <c r="X323" s="10">
        <f t="shared" si="118"/>
        <v>2.6449210736121334</v>
      </c>
      <c r="Y323" s="10">
        <f t="shared" si="118"/>
        <v>2.6449210736121334</v>
      </c>
      <c r="Z323" s="10">
        <f t="shared" si="118"/>
        <v>2.6449210736121334</v>
      </c>
      <c r="AA323" s="10">
        <f t="shared" si="118"/>
        <v>2.6449210736121334</v>
      </c>
      <c r="AB323" s="10">
        <f t="shared" si="118"/>
        <v>2.6449210736121334</v>
      </c>
      <c r="AC323" s="10">
        <f t="shared" si="118"/>
        <v>2.6449210736121334</v>
      </c>
      <c r="AD323" s="10">
        <f t="shared" si="118"/>
        <v>2.6449210736121334</v>
      </c>
      <c r="AE323" s="10">
        <f t="shared" si="118"/>
        <v>2.6449210736121334</v>
      </c>
      <c r="AF323" s="10">
        <f t="shared" si="118"/>
        <v>2.6449210736121334</v>
      </c>
      <c r="AG323" s="10">
        <f t="shared" si="118"/>
        <v>2.6449210736121334</v>
      </c>
      <c r="AH323" s="10">
        <f t="shared" si="118"/>
        <v>2.6449210736121334</v>
      </c>
      <c r="AI323" s="10">
        <f t="shared" si="118"/>
        <v>2.6449210736121334</v>
      </c>
      <c r="AJ323" s="10">
        <f t="shared" si="118"/>
        <v>2.6449210736121334</v>
      </c>
      <c r="AK323" s="10">
        <f t="shared" si="118"/>
        <v>2.6449210736121334</v>
      </c>
      <c r="AL323" s="10">
        <f t="shared" si="118"/>
        <v>2.6449210736121334</v>
      </c>
      <c r="AM323" s="10">
        <f t="shared" si="118"/>
        <v>2.6449210736121334</v>
      </c>
      <c r="AN323" s="10">
        <f t="shared" si="118"/>
        <v>2.6449210736121334</v>
      </c>
      <c r="AO323" s="10">
        <f t="shared" si="118"/>
        <v>2.6449210736121334</v>
      </c>
      <c r="AP323" s="10">
        <f t="shared" si="118"/>
        <v>2.6449210736121334</v>
      </c>
      <c r="AQ323" s="10">
        <f t="shared" si="118"/>
        <v>2.6449210736121334</v>
      </c>
      <c r="AR323" s="10">
        <f t="shared" si="118"/>
        <v>2.6449210736121334</v>
      </c>
      <c r="AS323" s="10">
        <f t="shared" si="118"/>
        <v>2.6449210736121334</v>
      </c>
      <c r="AT323" s="10">
        <f t="shared" si="118"/>
        <v>2.6449210736121334</v>
      </c>
      <c r="AU323" s="10">
        <f t="shared" si="118"/>
        <v>2.6449210736121334</v>
      </c>
      <c r="AV323" s="10">
        <f t="shared" si="118"/>
        <v>2.6449210736121334</v>
      </c>
      <c r="AW323" s="10">
        <f t="shared" si="118"/>
        <v>2.6449210736121334</v>
      </c>
      <c r="AX323" s="10">
        <f t="shared" si="118"/>
        <v>2.6449210736121334</v>
      </c>
      <c r="AY323" s="10">
        <f t="shared" si="118"/>
        <v>2.6449210736121334</v>
      </c>
      <c r="AZ323" s="10">
        <f t="shared" si="118"/>
        <v>2.6449210736121334</v>
      </c>
      <c r="BA323" s="10">
        <f t="shared" si="118"/>
        <v>2.6449210736121334</v>
      </c>
      <c r="BB323" s="10">
        <f t="shared" si="118"/>
        <v>2.6449210736121334</v>
      </c>
      <c r="BC323" s="10">
        <f t="shared" si="118"/>
        <v>2.6449210736121334</v>
      </c>
      <c r="BD323" s="10">
        <f t="shared" si="118"/>
        <v>2.6449210736121334</v>
      </c>
      <c r="BE323" s="10">
        <f t="shared" si="118"/>
        <v>2.6449210736121334</v>
      </c>
      <c r="BF323" s="10">
        <f t="shared" si="118"/>
        <v>2.6449210736121334</v>
      </c>
      <c r="BG323" s="10">
        <f t="shared" si="118"/>
        <v>2.6449210736121334</v>
      </c>
      <c r="BH323" s="10">
        <f t="shared" si="118"/>
        <v>2.6449210736121334</v>
      </c>
      <c r="BI323" s="10">
        <f t="shared" si="118"/>
        <v>2.6449210736121334</v>
      </c>
    </row>
    <row r="324" spans="1:61">
      <c r="A324" s="8" t="str">
        <f t="shared" si="112"/>
        <v>Prędkość 60,00÷69,99 km/h</v>
      </c>
      <c r="B324" s="110" t="s">
        <v>25</v>
      </c>
      <c r="C324" s="13"/>
      <c r="D324" s="13"/>
      <c r="E324" s="13"/>
      <c r="F324" s="13"/>
      <c r="G324" s="13"/>
      <c r="H324" s="13"/>
      <c r="I324" s="13"/>
      <c r="J324" s="13"/>
      <c r="K324" s="13"/>
      <c r="L324" s="13"/>
      <c r="M324" s="13"/>
      <c r="N324" s="13"/>
      <c r="O324" s="13"/>
      <c r="P324" s="13"/>
      <c r="Q324" s="78"/>
      <c r="R324" s="78"/>
      <c r="S324" s="78"/>
      <c r="T324" s="10">
        <f t="shared" ref="T324:BI324" si="119">($U179*$U$205*T$215)*U$57+(0)*U$58</f>
        <v>1.8956275255604569</v>
      </c>
      <c r="U324" s="10">
        <f t="shared" si="119"/>
        <v>1.9600788614295124</v>
      </c>
      <c r="V324" s="10">
        <f t="shared" si="119"/>
        <v>2.0600428833624171</v>
      </c>
      <c r="W324" s="10">
        <f t="shared" si="119"/>
        <v>2.3566890585666056</v>
      </c>
      <c r="X324" s="10">
        <f t="shared" si="119"/>
        <v>2.6253516112431989</v>
      </c>
      <c r="Y324" s="10">
        <f t="shared" si="119"/>
        <v>2.6253516112431989</v>
      </c>
      <c r="Z324" s="10">
        <f t="shared" si="119"/>
        <v>2.6253516112431989</v>
      </c>
      <c r="AA324" s="10">
        <f t="shared" si="119"/>
        <v>2.6253516112431989</v>
      </c>
      <c r="AB324" s="10">
        <f t="shared" si="119"/>
        <v>2.6253516112431989</v>
      </c>
      <c r="AC324" s="10">
        <f t="shared" si="119"/>
        <v>2.6253516112431989</v>
      </c>
      <c r="AD324" s="10">
        <f t="shared" si="119"/>
        <v>2.6253516112431989</v>
      </c>
      <c r="AE324" s="10">
        <f t="shared" si="119"/>
        <v>2.6253516112431989</v>
      </c>
      <c r="AF324" s="10">
        <f t="shared" si="119"/>
        <v>2.6253516112431989</v>
      </c>
      <c r="AG324" s="10">
        <f t="shared" si="119"/>
        <v>2.6253516112431989</v>
      </c>
      <c r="AH324" s="10">
        <f t="shared" si="119"/>
        <v>2.6253516112431989</v>
      </c>
      <c r="AI324" s="10">
        <f t="shared" si="119"/>
        <v>2.6253516112431989</v>
      </c>
      <c r="AJ324" s="10">
        <f t="shared" si="119"/>
        <v>2.6253516112431989</v>
      </c>
      <c r="AK324" s="10">
        <f t="shared" si="119"/>
        <v>2.6253516112431989</v>
      </c>
      <c r="AL324" s="10">
        <f t="shared" si="119"/>
        <v>2.6253516112431989</v>
      </c>
      <c r="AM324" s="10">
        <f t="shared" si="119"/>
        <v>2.6253516112431989</v>
      </c>
      <c r="AN324" s="10">
        <f t="shared" si="119"/>
        <v>2.6253516112431989</v>
      </c>
      <c r="AO324" s="10">
        <f t="shared" si="119"/>
        <v>2.6253516112431989</v>
      </c>
      <c r="AP324" s="10">
        <f t="shared" si="119"/>
        <v>2.6253516112431989</v>
      </c>
      <c r="AQ324" s="10">
        <f t="shared" si="119"/>
        <v>2.6253516112431989</v>
      </c>
      <c r="AR324" s="10">
        <f t="shared" si="119"/>
        <v>2.6253516112431989</v>
      </c>
      <c r="AS324" s="10">
        <f t="shared" si="119"/>
        <v>2.6253516112431989</v>
      </c>
      <c r="AT324" s="10">
        <f t="shared" si="119"/>
        <v>2.6253516112431989</v>
      </c>
      <c r="AU324" s="10">
        <f t="shared" si="119"/>
        <v>2.6253516112431989</v>
      </c>
      <c r="AV324" s="10">
        <f t="shared" si="119"/>
        <v>2.6253516112431989</v>
      </c>
      <c r="AW324" s="10">
        <f t="shared" si="119"/>
        <v>2.6253516112431989</v>
      </c>
      <c r="AX324" s="10">
        <f t="shared" si="119"/>
        <v>2.6253516112431989</v>
      </c>
      <c r="AY324" s="10">
        <f t="shared" si="119"/>
        <v>2.6253516112431989</v>
      </c>
      <c r="AZ324" s="10">
        <f t="shared" si="119"/>
        <v>2.6253516112431989</v>
      </c>
      <c r="BA324" s="10">
        <f t="shared" si="119"/>
        <v>2.6253516112431989</v>
      </c>
      <c r="BB324" s="10">
        <f t="shared" si="119"/>
        <v>2.6253516112431989</v>
      </c>
      <c r="BC324" s="10">
        <f t="shared" si="119"/>
        <v>2.6253516112431989</v>
      </c>
      <c r="BD324" s="10">
        <f t="shared" si="119"/>
        <v>2.6253516112431989</v>
      </c>
      <c r="BE324" s="10">
        <f t="shared" si="119"/>
        <v>2.6253516112431989</v>
      </c>
      <c r="BF324" s="10">
        <f t="shared" si="119"/>
        <v>2.6253516112431989</v>
      </c>
      <c r="BG324" s="10">
        <f t="shared" si="119"/>
        <v>2.6253516112431989</v>
      </c>
      <c r="BH324" s="10">
        <f t="shared" si="119"/>
        <v>2.6253516112431989</v>
      </c>
      <c r="BI324" s="10">
        <f t="shared" si="119"/>
        <v>2.6253516112431989</v>
      </c>
    </row>
    <row r="325" spans="1:61">
      <c r="A325" s="8" t="str">
        <f t="shared" si="112"/>
        <v>Prędkość 70,00÷79,99 km/h</v>
      </c>
      <c r="B325" s="110" t="s">
        <v>25</v>
      </c>
      <c r="C325" s="13"/>
      <c r="D325" s="13"/>
      <c r="E325" s="13"/>
      <c r="F325" s="13"/>
      <c r="G325" s="13"/>
      <c r="H325" s="13"/>
      <c r="I325" s="13"/>
      <c r="J325" s="13"/>
      <c r="K325" s="13"/>
      <c r="L325" s="13"/>
      <c r="M325" s="13"/>
      <c r="N325" s="13"/>
      <c r="O325" s="13"/>
      <c r="P325" s="13"/>
      <c r="Q325" s="78"/>
      <c r="R325" s="78"/>
      <c r="S325" s="78"/>
      <c r="T325" s="10">
        <f t="shared" ref="T325:BI325" si="120">($U180*$U$205*T$215)*U$57+(0)*U$58</f>
        <v>1.8917762673720642</v>
      </c>
      <c r="U325" s="10">
        <f t="shared" si="120"/>
        <v>1.9560966604627144</v>
      </c>
      <c r="V325" s="10">
        <f t="shared" si="120"/>
        <v>2.0558575901463128</v>
      </c>
      <c r="W325" s="10">
        <f t="shared" si="120"/>
        <v>2.3519010831273821</v>
      </c>
      <c r="X325" s="10">
        <f t="shared" si="120"/>
        <v>2.6200178066039035</v>
      </c>
      <c r="Y325" s="10">
        <f t="shared" si="120"/>
        <v>2.6200178066039035</v>
      </c>
      <c r="Z325" s="10">
        <f t="shared" si="120"/>
        <v>2.6200178066039035</v>
      </c>
      <c r="AA325" s="10">
        <f t="shared" si="120"/>
        <v>2.6200178066039035</v>
      </c>
      <c r="AB325" s="10">
        <f t="shared" si="120"/>
        <v>2.6200178066039035</v>
      </c>
      <c r="AC325" s="10">
        <f t="shared" si="120"/>
        <v>2.6200178066039035</v>
      </c>
      <c r="AD325" s="10">
        <f t="shared" si="120"/>
        <v>2.6200178066039035</v>
      </c>
      <c r="AE325" s="10">
        <f t="shared" si="120"/>
        <v>2.6200178066039035</v>
      </c>
      <c r="AF325" s="10">
        <f t="shared" si="120"/>
        <v>2.6200178066039035</v>
      </c>
      <c r="AG325" s="10">
        <f t="shared" si="120"/>
        <v>2.6200178066039035</v>
      </c>
      <c r="AH325" s="10">
        <f t="shared" si="120"/>
        <v>2.6200178066039035</v>
      </c>
      <c r="AI325" s="10">
        <f t="shared" si="120"/>
        <v>2.6200178066039035</v>
      </c>
      <c r="AJ325" s="10">
        <f t="shared" si="120"/>
        <v>2.6200178066039035</v>
      </c>
      <c r="AK325" s="10">
        <f t="shared" si="120"/>
        <v>2.6200178066039035</v>
      </c>
      <c r="AL325" s="10">
        <f t="shared" si="120"/>
        <v>2.6200178066039035</v>
      </c>
      <c r="AM325" s="10">
        <f t="shared" si="120"/>
        <v>2.6200178066039035</v>
      </c>
      <c r="AN325" s="10">
        <f t="shared" si="120"/>
        <v>2.6200178066039035</v>
      </c>
      <c r="AO325" s="10">
        <f t="shared" si="120"/>
        <v>2.6200178066039035</v>
      </c>
      <c r="AP325" s="10">
        <f t="shared" si="120"/>
        <v>2.6200178066039035</v>
      </c>
      <c r="AQ325" s="10">
        <f t="shared" si="120"/>
        <v>2.6200178066039035</v>
      </c>
      <c r="AR325" s="10">
        <f t="shared" si="120"/>
        <v>2.6200178066039035</v>
      </c>
      <c r="AS325" s="10">
        <f t="shared" si="120"/>
        <v>2.6200178066039035</v>
      </c>
      <c r="AT325" s="10">
        <f t="shared" si="120"/>
        <v>2.6200178066039035</v>
      </c>
      <c r="AU325" s="10">
        <f t="shared" si="120"/>
        <v>2.6200178066039035</v>
      </c>
      <c r="AV325" s="10">
        <f t="shared" si="120"/>
        <v>2.6200178066039035</v>
      </c>
      <c r="AW325" s="10">
        <f t="shared" si="120"/>
        <v>2.6200178066039035</v>
      </c>
      <c r="AX325" s="10">
        <f t="shared" si="120"/>
        <v>2.6200178066039035</v>
      </c>
      <c r="AY325" s="10">
        <f t="shared" si="120"/>
        <v>2.6200178066039035</v>
      </c>
      <c r="AZ325" s="10">
        <f t="shared" si="120"/>
        <v>2.6200178066039035</v>
      </c>
      <c r="BA325" s="10">
        <f t="shared" si="120"/>
        <v>2.6200178066039035</v>
      </c>
      <c r="BB325" s="10">
        <f t="shared" si="120"/>
        <v>2.6200178066039035</v>
      </c>
      <c r="BC325" s="10">
        <f t="shared" si="120"/>
        <v>2.6200178066039035</v>
      </c>
      <c r="BD325" s="10">
        <f t="shared" si="120"/>
        <v>2.6200178066039035</v>
      </c>
      <c r="BE325" s="10">
        <f t="shared" si="120"/>
        <v>2.6200178066039035</v>
      </c>
      <c r="BF325" s="10">
        <f t="shared" si="120"/>
        <v>2.6200178066039035</v>
      </c>
      <c r="BG325" s="10">
        <f t="shared" si="120"/>
        <v>2.6200178066039035</v>
      </c>
      <c r="BH325" s="10">
        <f t="shared" si="120"/>
        <v>2.6200178066039035</v>
      </c>
      <c r="BI325" s="10">
        <f t="shared" si="120"/>
        <v>2.6200178066039035</v>
      </c>
    </row>
    <row r="326" spans="1:61">
      <c r="A326" s="8" t="str">
        <f t="shared" si="112"/>
        <v>Prędkość 80,00÷89,99 km/h</v>
      </c>
      <c r="B326" s="110" t="s">
        <v>25</v>
      </c>
      <c r="C326" s="13"/>
      <c r="D326" s="13"/>
      <c r="E326" s="13"/>
      <c r="F326" s="13"/>
      <c r="G326" s="13"/>
      <c r="H326" s="13"/>
      <c r="I326" s="13"/>
      <c r="J326" s="13"/>
      <c r="K326" s="13"/>
      <c r="L326" s="13"/>
      <c r="M326" s="13"/>
      <c r="N326" s="13"/>
      <c r="O326" s="13"/>
      <c r="P326" s="13"/>
      <c r="Q326" s="78"/>
      <c r="R326" s="78"/>
      <c r="S326" s="78"/>
      <c r="T326" s="10">
        <f t="shared" ref="T326:BI326" si="121">($U181*$U$205*T$215)*U$57+(0)*U$58</f>
        <v>1.8960749225492468</v>
      </c>
      <c r="U326" s="10">
        <f t="shared" si="121"/>
        <v>1.9605414699159212</v>
      </c>
      <c r="V326" s="10">
        <f t="shared" si="121"/>
        <v>2.0605290848816331</v>
      </c>
      <c r="W326" s="10">
        <f t="shared" si="121"/>
        <v>2.3572452731045885</v>
      </c>
      <c r="X326" s="10">
        <f t="shared" si="121"/>
        <v>2.6259712342385115</v>
      </c>
      <c r="Y326" s="10">
        <f t="shared" si="121"/>
        <v>2.6259712342385115</v>
      </c>
      <c r="Z326" s="10">
        <f t="shared" si="121"/>
        <v>2.6259712342385115</v>
      </c>
      <c r="AA326" s="10">
        <f t="shared" si="121"/>
        <v>2.6259712342385115</v>
      </c>
      <c r="AB326" s="10">
        <f t="shared" si="121"/>
        <v>2.6259712342385115</v>
      </c>
      <c r="AC326" s="10">
        <f t="shared" si="121"/>
        <v>2.6259712342385115</v>
      </c>
      <c r="AD326" s="10">
        <f t="shared" si="121"/>
        <v>2.6259712342385115</v>
      </c>
      <c r="AE326" s="10">
        <f t="shared" si="121"/>
        <v>2.6259712342385115</v>
      </c>
      <c r="AF326" s="10">
        <f t="shared" si="121"/>
        <v>2.6259712342385115</v>
      </c>
      <c r="AG326" s="10">
        <f t="shared" si="121"/>
        <v>2.6259712342385115</v>
      </c>
      <c r="AH326" s="10">
        <f t="shared" si="121"/>
        <v>2.6259712342385115</v>
      </c>
      <c r="AI326" s="10">
        <f t="shared" si="121"/>
        <v>2.6259712342385115</v>
      </c>
      <c r="AJ326" s="10">
        <f t="shared" si="121"/>
        <v>2.6259712342385115</v>
      </c>
      <c r="AK326" s="10">
        <f t="shared" si="121"/>
        <v>2.6259712342385115</v>
      </c>
      <c r="AL326" s="10">
        <f t="shared" si="121"/>
        <v>2.6259712342385115</v>
      </c>
      <c r="AM326" s="10">
        <f t="shared" si="121"/>
        <v>2.6259712342385115</v>
      </c>
      <c r="AN326" s="10">
        <f t="shared" si="121"/>
        <v>2.6259712342385115</v>
      </c>
      <c r="AO326" s="10">
        <f t="shared" si="121"/>
        <v>2.6259712342385115</v>
      </c>
      <c r="AP326" s="10">
        <f t="shared" si="121"/>
        <v>2.6259712342385115</v>
      </c>
      <c r="AQ326" s="10">
        <f t="shared" si="121"/>
        <v>2.6259712342385115</v>
      </c>
      <c r="AR326" s="10">
        <f t="shared" si="121"/>
        <v>2.6259712342385115</v>
      </c>
      <c r="AS326" s="10">
        <f t="shared" si="121"/>
        <v>2.6259712342385115</v>
      </c>
      <c r="AT326" s="10">
        <f t="shared" si="121"/>
        <v>2.6259712342385115</v>
      </c>
      <c r="AU326" s="10">
        <f t="shared" si="121"/>
        <v>2.6259712342385115</v>
      </c>
      <c r="AV326" s="10">
        <f t="shared" si="121"/>
        <v>2.6259712342385115</v>
      </c>
      <c r="AW326" s="10">
        <f t="shared" si="121"/>
        <v>2.6259712342385115</v>
      </c>
      <c r="AX326" s="10">
        <f t="shared" si="121"/>
        <v>2.6259712342385115</v>
      </c>
      <c r="AY326" s="10">
        <f t="shared" si="121"/>
        <v>2.6259712342385115</v>
      </c>
      <c r="AZ326" s="10">
        <f t="shared" si="121"/>
        <v>2.6259712342385115</v>
      </c>
      <c r="BA326" s="10">
        <f t="shared" si="121"/>
        <v>2.6259712342385115</v>
      </c>
      <c r="BB326" s="10">
        <f t="shared" si="121"/>
        <v>2.6259712342385115</v>
      </c>
      <c r="BC326" s="10">
        <f t="shared" si="121"/>
        <v>2.6259712342385115</v>
      </c>
      <c r="BD326" s="10">
        <f t="shared" si="121"/>
        <v>2.6259712342385115</v>
      </c>
      <c r="BE326" s="10">
        <f t="shared" si="121"/>
        <v>2.6259712342385115</v>
      </c>
      <c r="BF326" s="10">
        <f t="shared" si="121"/>
        <v>2.6259712342385115</v>
      </c>
      <c r="BG326" s="10">
        <f t="shared" si="121"/>
        <v>2.6259712342385115</v>
      </c>
      <c r="BH326" s="10">
        <f t="shared" si="121"/>
        <v>2.6259712342385115</v>
      </c>
      <c r="BI326" s="10">
        <f t="shared" si="121"/>
        <v>2.6259712342385115</v>
      </c>
    </row>
    <row r="327" spans="1:61">
      <c r="A327" s="8" t="str">
        <f t="shared" si="112"/>
        <v>Prędkość 90,00÷99,99 km/h</v>
      </c>
      <c r="B327" s="110" t="s">
        <v>25</v>
      </c>
      <c r="C327" s="13"/>
      <c r="D327" s="13"/>
      <c r="E327" s="13"/>
      <c r="F327" s="13"/>
      <c r="G327" s="13"/>
      <c r="H327" s="13"/>
      <c r="I327" s="13"/>
      <c r="J327" s="13"/>
      <c r="K327" s="13"/>
      <c r="L327" s="13"/>
      <c r="M327" s="13"/>
      <c r="N327" s="13"/>
      <c r="O327" s="13"/>
      <c r="P327" s="13"/>
      <c r="Q327" s="78"/>
      <c r="R327" s="78"/>
      <c r="S327" s="78"/>
      <c r="T327" s="10">
        <f t="shared" ref="T327:BI327" si="122">($U182*$U$205*T$215)*U$57+(0)*U$58</f>
        <v>1.9124682866743843</v>
      </c>
      <c r="U327" s="10">
        <f t="shared" si="122"/>
        <v>1.9774922084213133</v>
      </c>
      <c r="V327" s="10">
        <f t="shared" si="122"/>
        <v>2.0783443110508002</v>
      </c>
      <c r="W327" s="10">
        <f t="shared" si="122"/>
        <v>2.3776258918421158</v>
      </c>
      <c r="X327" s="10">
        <f t="shared" si="122"/>
        <v>2.648675243512117</v>
      </c>
      <c r="Y327" s="10">
        <f t="shared" si="122"/>
        <v>2.648675243512117</v>
      </c>
      <c r="Z327" s="10">
        <f t="shared" si="122"/>
        <v>2.648675243512117</v>
      </c>
      <c r="AA327" s="10">
        <f t="shared" si="122"/>
        <v>2.648675243512117</v>
      </c>
      <c r="AB327" s="10">
        <f t="shared" si="122"/>
        <v>2.648675243512117</v>
      </c>
      <c r="AC327" s="10">
        <f t="shared" si="122"/>
        <v>2.648675243512117</v>
      </c>
      <c r="AD327" s="10">
        <f t="shared" si="122"/>
        <v>2.648675243512117</v>
      </c>
      <c r="AE327" s="10">
        <f t="shared" si="122"/>
        <v>2.648675243512117</v>
      </c>
      <c r="AF327" s="10">
        <f t="shared" si="122"/>
        <v>2.648675243512117</v>
      </c>
      <c r="AG327" s="10">
        <f t="shared" si="122"/>
        <v>2.648675243512117</v>
      </c>
      <c r="AH327" s="10">
        <f t="shared" si="122"/>
        <v>2.648675243512117</v>
      </c>
      <c r="AI327" s="10">
        <f t="shared" si="122"/>
        <v>2.648675243512117</v>
      </c>
      <c r="AJ327" s="10">
        <f t="shared" si="122"/>
        <v>2.648675243512117</v>
      </c>
      <c r="AK327" s="10">
        <f t="shared" si="122"/>
        <v>2.648675243512117</v>
      </c>
      <c r="AL327" s="10">
        <f t="shared" si="122"/>
        <v>2.648675243512117</v>
      </c>
      <c r="AM327" s="10">
        <f t="shared" si="122"/>
        <v>2.648675243512117</v>
      </c>
      <c r="AN327" s="10">
        <f t="shared" si="122"/>
        <v>2.648675243512117</v>
      </c>
      <c r="AO327" s="10">
        <f t="shared" si="122"/>
        <v>2.648675243512117</v>
      </c>
      <c r="AP327" s="10">
        <f t="shared" si="122"/>
        <v>2.648675243512117</v>
      </c>
      <c r="AQ327" s="10">
        <f t="shared" si="122"/>
        <v>2.648675243512117</v>
      </c>
      <c r="AR327" s="10">
        <f t="shared" si="122"/>
        <v>2.648675243512117</v>
      </c>
      <c r="AS327" s="10">
        <f t="shared" si="122"/>
        <v>2.648675243512117</v>
      </c>
      <c r="AT327" s="10">
        <f t="shared" si="122"/>
        <v>2.648675243512117</v>
      </c>
      <c r="AU327" s="10">
        <f t="shared" si="122"/>
        <v>2.648675243512117</v>
      </c>
      <c r="AV327" s="10">
        <f t="shared" si="122"/>
        <v>2.648675243512117</v>
      </c>
      <c r="AW327" s="10">
        <f t="shared" si="122"/>
        <v>2.648675243512117</v>
      </c>
      <c r="AX327" s="10">
        <f t="shared" si="122"/>
        <v>2.648675243512117</v>
      </c>
      <c r="AY327" s="10">
        <f t="shared" si="122"/>
        <v>2.648675243512117</v>
      </c>
      <c r="AZ327" s="10">
        <f t="shared" si="122"/>
        <v>2.648675243512117</v>
      </c>
      <c r="BA327" s="10">
        <f t="shared" si="122"/>
        <v>2.648675243512117</v>
      </c>
      <c r="BB327" s="10">
        <f t="shared" si="122"/>
        <v>2.648675243512117</v>
      </c>
      <c r="BC327" s="10">
        <f t="shared" si="122"/>
        <v>2.648675243512117</v>
      </c>
      <c r="BD327" s="10">
        <f t="shared" si="122"/>
        <v>2.648675243512117</v>
      </c>
      <c r="BE327" s="10">
        <f t="shared" si="122"/>
        <v>2.648675243512117</v>
      </c>
      <c r="BF327" s="10">
        <f t="shared" si="122"/>
        <v>2.648675243512117</v>
      </c>
      <c r="BG327" s="10">
        <f t="shared" si="122"/>
        <v>2.648675243512117</v>
      </c>
      <c r="BH327" s="10">
        <f t="shared" si="122"/>
        <v>2.648675243512117</v>
      </c>
      <c r="BI327" s="10">
        <f t="shared" si="122"/>
        <v>2.648675243512117</v>
      </c>
    </row>
    <row r="328" spans="1:61">
      <c r="A328" s="8" t="str">
        <f t="shared" si="112"/>
        <v>Prędkość 100,00÷109,99 km/h</v>
      </c>
      <c r="B328" s="110" t="s">
        <v>25</v>
      </c>
      <c r="C328" s="13"/>
      <c r="D328" s="13"/>
      <c r="E328" s="13"/>
      <c r="F328" s="13"/>
      <c r="G328" s="13"/>
      <c r="H328" s="13"/>
      <c r="I328" s="13"/>
      <c r="J328" s="13"/>
      <c r="K328" s="13"/>
      <c r="L328" s="13"/>
      <c r="M328" s="13"/>
      <c r="N328" s="13"/>
      <c r="O328" s="13"/>
      <c r="P328" s="13"/>
      <c r="Q328" s="78"/>
      <c r="R328" s="78"/>
      <c r="S328" s="78"/>
      <c r="T328" s="10">
        <f t="shared" ref="T328:BI328" si="123">($U183*$U$205*T$215)*U$57+(0)*U$58</f>
        <v>1.9817147269141757</v>
      </c>
      <c r="U328" s="10">
        <f t="shared" si="123"/>
        <v>2.0490930276292576</v>
      </c>
      <c r="V328" s="10">
        <f t="shared" si="123"/>
        <v>2.1535967720383495</v>
      </c>
      <c r="W328" s="10">
        <f t="shared" si="123"/>
        <v>2.4637147072118721</v>
      </c>
      <c r="X328" s="10">
        <f t="shared" si="123"/>
        <v>2.744578183834026</v>
      </c>
      <c r="Y328" s="10">
        <f t="shared" si="123"/>
        <v>2.744578183834026</v>
      </c>
      <c r="Z328" s="10">
        <f t="shared" si="123"/>
        <v>2.744578183834026</v>
      </c>
      <c r="AA328" s="10">
        <f t="shared" si="123"/>
        <v>2.744578183834026</v>
      </c>
      <c r="AB328" s="10">
        <f t="shared" si="123"/>
        <v>2.744578183834026</v>
      </c>
      <c r="AC328" s="10">
        <f t="shared" si="123"/>
        <v>2.744578183834026</v>
      </c>
      <c r="AD328" s="10">
        <f t="shared" si="123"/>
        <v>2.744578183834026</v>
      </c>
      <c r="AE328" s="10">
        <f t="shared" si="123"/>
        <v>2.744578183834026</v>
      </c>
      <c r="AF328" s="10">
        <f t="shared" si="123"/>
        <v>2.744578183834026</v>
      </c>
      <c r="AG328" s="10">
        <f t="shared" si="123"/>
        <v>2.744578183834026</v>
      </c>
      <c r="AH328" s="10">
        <f t="shared" si="123"/>
        <v>2.744578183834026</v>
      </c>
      <c r="AI328" s="10">
        <f t="shared" si="123"/>
        <v>2.744578183834026</v>
      </c>
      <c r="AJ328" s="10">
        <f t="shared" si="123"/>
        <v>2.744578183834026</v>
      </c>
      <c r="AK328" s="10">
        <f t="shared" si="123"/>
        <v>2.744578183834026</v>
      </c>
      <c r="AL328" s="10">
        <f t="shared" si="123"/>
        <v>2.744578183834026</v>
      </c>
      <c r="AM328" s="10">
        <f t="shared" si="123"/>
        <v>2.744578183834026</v>
      </c>
      <c r="AN328" s="10">
        <f t="shared" si="123"/>
        <v>2.744578183834026</v>
      </c>
      <c r="AO328" s="10">
        <f t="shared" si="123"/>
        <v>2.744578183834026</v>
      </c>
      <c r="AP328" s="10">
        <f t="shared" si="123"/>
        <v>2.744578183834026</v>
      </c>
      <c r="AQ328" s="10">
        <f t="shared" si="123"/>
        <v>2.744578183834026</v>
      </c>
      <c r="AR328" s="10">
        <f t="shared" si="123"/>
        <v>2.744578183834026</v>
      </c>
      <c r="AS328" s="10">
        <f t="shared" si="123"/>
        <v>2.744578183834026</v>
      </c>
      <c r="AT328" s="10">
        <f t="shared" si="123"/>
        <v>2.744578183834026</v>
      </c>
      <c r="AU328" s="10">
        <f t="shared" si="123"/>
        <v>2.744578183834026</v>
      </c>
      <c r="AV328" s="10">
        <f t="shared" si="123"/>
        <v>2.744578183834026</v>
      </c>
      <c r="AW328" s="10">
        <f t="shared" si="123"/>
        <v>2.744578183834026</v>
      </c>
      <c r="AX328" s="10">
        <f t="shared" si="123"/>
        <v>2.744578183834026</v>
      </c>
      <c r="AY328" s="10">
        <f t="shared" si="123"/>
        <v>2.744578183834026</v>
      </c>
      <c r="AZ328" s="10">
        <f t="shared" si="123"/>
        <v>2.744578183834026</v>
      </c>
      <c r="BA328" s="10">
        <f t="shared" si="123"/>
        <v>2.744578183834026</v>
      </c>
      <c r="BB328" s="10">
        <f t="shared" si="123"/>
        <v>2.744578183834026</v>
      </c>
      <c r="BC328" s="10">
        <f t="shared" si="123"/>
        <v>2.744578183834026</v>
      </c>
      <c r="BD328" s="10">
        <f t="shared" si="123"/>
        <v>2.744578183834026</v>
      </c>
      <c r="BE328" s="10">
        <f t="shared" si="123"/>
        <v>2.744578183834026</v>
      </c>
      <c r="BF328" s="10">
        <f t="shared" si="123"/>
        <v>2.744578183834026</v>
      </c>
      <c r="BG328" s="10">
        <f t="shared" si="123"/>
        <v>2.744578183834026</v>
      </c>
      <c r="BH328" s="10">
        <f t="shared" si="123"/>
        <v>2.744578183834026</v>
      </c>
      <c r="BI328" s="10">
        <f t="shared" si="123"/>
        <v>2.744578183834026</v>
      </c>
    </row>
    <row r="329" spans="1:61">
      <c r="A329" s="8" t="str">
        <f t="shared" si="112"/>
        <v>Prędkość 110,00÷119,99 km/h</v>
      </c>
      <c r="B329" s="110" t="s">
        <v>25</v>
      </c>
      <c r="C329" s="13"/>
      <c r="D329" s="13"/>
      <c r="E329" s="13"/>
      <c r="F329" s="13"/>
      <c r="G329" s="13"/>
      <c r="H329" s="13"/>
      <c r="I329" s="13"/>
      <c r="J329" s="13"/>
      <c r="K329" s="13"/>
      <c r="L329" s="13"/>
      <c r="M329" s="13"/>
      <c r="N329" s="13"/>
      <c r="O329" s="13"/>
      <c r="P329" s="13"/>
      <c r="Q329" s="78"/>
      <c r="R329" s="78"/>
      <c r="S329" s="78"/>
      <c r="T329" s="10">
        <f t="shared" ref="T329:BI329" si="124">($U184*$U$205*T$215)*U$57+(0)*U$58</f>
        <v>2.0509611671539671</v>
      </c>
      <c r="U329" s="10">
        <f t="shared" si="124"/>
        <v>2.1206938468372023</v>
      </c>
      <c r="V329" s="10">
        <f t="shared" si="124"/>
        <v>2.2288492330258989</v>
      </c>
      <c r="W329" s="10">
        <f t="shared" si="124"/>
        <v>2.5498035225816289</v>
      </c>
      <c r="X329" s="10">
        <f t="shared" si="124"/>
        <v>2.8404811241559345</v>
      </c>
      <c r="Y329" s="10">
        <f t="shared" si="124"/>
        <v>2.8404811241559345</v>
      </c>
      <c r="Z329" s="10">
        <f t="shared" si="124"/>
        <v>2.8404811241559345</v>
      </c>
      <c r="AA329" s="10">
        <f t="shared" si="124"/>
        <v>2.8404811241559345</v>
      </c>
      <c r="AB329" s="10">
        <f t="shared" si="124"/>
        <v>2.8404811241559345</v>
      </c>
      <c r="AC329" s="10">
        <f t="shared" si="124"/>
        <v>2.8404811241559345</v>
      </c>
      <c r="AD329" s="10">
        <f t="shared" si="124"/>
        <v>2.8404811241559345</v>
      </c>
      <c r="AE329" s="10">
        <f t="shared" si="124"/>
        <v>2.8404811241559345</v>
      </c>
      <c r="AF329" s="10">
        <f t="shared" si="124"/>
        <v>2.8404811241559345</v>
      </c>
      <c r="AG329" s="10">
        <f t="shared" si="124"/>
        <v>2.8404811241559345</v>
      </c>
      <c r="AH329" s="10">
        <f t="shared" si="124"/>
        <v>2.8404811241559345</v>
      </c>
      <c r="AI329" s="10">
        <f t="shared" si="124"/>
        <v>2.8404811241559345</v>
      </c>
      <c r="AJ329" s="10">
        <f t="shared" si="124"/>
        <v>2.8404811241559345</v>
      </c>
      <c r="AK329" s="10">
        <f t="shared" si="124"/>
        <v>2.8404811241559345</v>
      </c>
      <c r="AL329" s="10">
        <f t="shared" si="124"/>
        <v>2.8404811241559345</v>
      </c>
      <c r="AM329" s="10">
        <f t="shared" si="124"/>
        <v>2.8404811241559345</v>
      </c>
      <c r="AN329" s="10">
        <f t="shared" si="124"/>
        <v>2.8404811241559345</v>
      </c>
      <c r="AO329" s="10">
        <f t="shared" si="124"/>
        <v>2.8404811241559345</v>
      </c>
      <c r="AP329" s="10">
        <f t="shared" si="124"/>
        <v>2.8404811241559345</v>
      </c>
      <c r="AQ329" s="10">
        <f t="shared" si="124"/>
        <v>2.8404811241559345</v>
      </c>
      <c r="AR329" s="10">
        <f t="shared" si="124"/>
        <v>2.8404811241559345</v>
      </c>
      <c r="AS329" s="10">
        <f t="shared" si="124"/>
        <v>2.8404811241559345</v>
      </c>
      <c r="AT329" s="10">
        <f t="shared" si="124"/>
        <v>2.8404811241559345</v>
      </c>
      <c r="AU329" s="10">
        <f t="shared" si="124"/>
        <v>2.8404811241559345</v>
      </c>
      <c r="AV329" s="10">
        <f t="shared" si="124"/>
        <v>2.8404811241559345</v>
      </c>
      <c r="AW329" s="10">
        <f t="shared" si="124"/>
        <v>2.8404811241559345</v>
      </c>
      <c r="AX329" s="10">
        <f t="shared" si="124"/>
        <v>2.8404811241559345</v>
      </c>
      <c r="AY329" s="10">
        <f t="shared" si="124"/>
        <v>2.8404811241559345</v>
      </c>
      <c r="AZ329" s="10">
        <f t="shared" si="124"/>
        <v>2.8404811241559345</v>
      </c>
      <c r="BA329" s="10">
        <f t="shared" si="124"/>
        <v>2.8404811241559345</v>
      </c>
      <c r="BB329" s="10">
        <f t="shared" si="124"/>
        <v>2.8404811241559345</v>
      </c>
      <c r="BC329" s="10">
        <f t="shared" si="124"/>
        <v>2.8404811241559345</v>
      </c>
      <c r="BD329" s="10">
        <f t="shared" si="124"/>
        <v>2.8404811241559345</v>
      </c>
      <c r="BE329" s="10">
        <f t="shared" si="124"/>
        <v>2.8404811241559345</v>
      </c>
      <c r="BF329" s="10">
        <f t="shared" si="124"/>
        <v>2.8404811241559345</v>
      </c>
      <c r="BG329" s="10">
        <f t="shared" si="124"/>
        <v>2.8404811241559345</v>
      </c>
      <c r="BH329" s="10">
        <f t="shared" si="124"/>
        <v>2.8404811241559345</v>
      </c>
      <c r="BI329" s="10">
        <f t="shared" si="124"/>
        <v>2.8404811241559345</v>
      </c>
    </row>
    <row r="330" spans="1:61">
      <c r="A330" s="8" t="str">
        <f t="shared" si="112"/>
        <v>Prędkość 120,00÷129,99 km/h</v>
      </c>
      <c r="B330" s="110" t="s">
        <v>25</v>
      </c>
      <c r="C330" s="13"/>
      <c r="D330" s="13"/>
      <c r="E330" s="13"/>
      <c r="F330" s="13"/>
      <c r="G330" s="13"/>
      <c r="H330" s="13"/>
      <c r="I330" s="13"/>
      <c r="J330" s="13"/>
      <c r="K330" s="13"/>
      <c r="L330" s="13"/>
      <c r="M330" s="13"/>
      <c r="N330" s="13"/>
      <c r="O330" s="13"/>
      <c r="P330" s="13"/>
      <c r="Q330" s="78"/>
      <c r="R330" s="78"/>
      <c r="S330" s="78"/>
      <c r="T330" s="10">
        <f t="shared" ref="T330:BI330" si="125">($U185*$U$205*T$215)*U$57+(0)*U$58</f>
        <v>2.1202076073937581</v>
      </c>
      <c r="U330" s="10">
        <f t="shared" si="125"/>
        <v>2.1922946660451461</v>
      </c>
      <c r="V330" s="10">
        <f t="shared" si="125"/>
        <v>2.3041016940134482</v>
      </c>
      <c r="W330" s="10">
        <f t="shared" si="125"/>
        <v>2.6358923379513852</v>
      </c>
      <c r="X330" s="10">
        <f t="shared" si="125"/>
        <v>2.9363840644778429</v>
      </c>
      <c r="Y330" s="10">
        <f t="shared" si="125"/>
        <v>2.9363840644778429</v>
      </c>
      <c r="Z330" s="10">
        <f t="shared" si="125"/>
        <v>2.9363840644778429</v>
      </c>
      <c r="AA330" s="10">
        <f t="shared" si="125"/>
        <v>2.9363840644778429</v>
      </c>
      <c r="AB330" s="10">
        <f t="shared" si="125"/>
        <v>2.9363840644778429</v>
      </c>
      <c r="AC330" s="10">
        <f t="shared" si="125"/>
        <v>2.9363840644778429</v>
      </c>
      <c r="AD330" s="10">
        <f t="shared" si="125"/>
        <v>2.9363840644778429</v>
      </c>
      <c r="AE330" s="10">
        <f t="shared" si="125"/>
        <v>2.9363840644778429</v>
      </c>
      <c r="AF330" s="10">
        <f t="shared" si="125"/>
        <v>2.9363840644778429</v>
      </c>
      <c r="AG330" s="10">
        <f t="shared" si="125"/>
        <v>2.9363840644778429</v>
      </c>
      <c r="AH330" s="10">
        <f t="shared" si="125"/>
        <v>2.9363840644778429</v>
      </c>
      <c r="AI330" s="10">
        <f t="shared" si="125"/>
        <v>2.9363840644778429</v>
      </c>
      <c r="AJ330" s="10">
        <f t="shared" si="125"/>
        <v>2.9363840644778429</v>
      </c>
      <c r="AK330" s="10">
        <f t="shared" si="125"/>
        <v>2.9363840644778429</v>
      </c>
      <c r="AL330" s="10">
        <f t="shared" si="125"/>
        <v>2.9363840644778429</v>
      </c>
      <c r="AM330" s="10">
        <f t="shared" si="125"/>
        <v>2.9363840644778429</v>
      </c>
      <c r="AN330" s="10">
        <f t="shared" si="125"/>
        <v>2.9363840644778429</v>
      </c>
      <c r="AO330" s="10">
        <f t="shared" si="125"/>
        <v>2.9363840644778429</v>
      </c>
      <c r="AP330" s="10">
        <f t="shared" si="125"/>
        <v>2.9363840644778429</v>
      </c>
      <c r="AQ330" s="10">
        <f t="shared" si="125"/>
        <v>2.9363840644778429</v>
      </c>
      <c r="AR330" s="10">
        <f t="shared" si="125"/>
        <v>2.9363840644778429</v>
      </c>
      <c r="AS330" s="10">
        <f t="shared" si="125"/>
        <v>2.9363840644778429</v>
      </c>
      <c r="AT330" s="10">
        <f t="shared" si="125"/>
        <v>2.9363840644778429</v>
      </c>
      <c r="AU330" s="10">
        <f t="shared" si="125"/>
        <v>2.9363840644778429</v>
      </c>
      <c r="AV330" s="10">
        <f t="shared" si="125"/>
        <v>2.9363840644778429</v>
      </c>
      <c r="AW330" s="10">
        <f t="shared" si="125"/>
        <v>2.9363840644778429</v>
      </c>
      <c r="AX330" s="10">
        <f t="shared" si="125"/>
        <v>2.9363840644778429</v>
      </c>
      <c r="AY330" s="10">
        <f t="shared" si="125"/>
        <v>2.9363840644778429</v>
      </c>
      <c r="AZ330" s="10">
        <f t="shared" si="125"/>
        <v>2.9363840644778429</v>
      </c>
      <c r="BA330" s="10">
        <f t="shared" si="125"/>
        <v>2.9363840644778429</v>
      </c>
      <c r="BB330" s="10">
        <f t="shared" si="125"/>
        <v>2.9363840644778429</v>
      </c>
      <c r="BC330" s="10">
        <f t="shared" si="125"/>
        <v>2.9363840644778429</v>
      </c>
      <c r="BD330" s="10">
        <f t="shared" si="125"/>
        <v>2.9363840644778429</v>
      </c>
      <c r="BE330" s="10">
        <f t="shared" si="125"/>
        <v>2.9363840644778429</v>
      </c>
      <c r="BF330" s="10">
        <f t="shared" si="125"/>
        <v>2.9363840644778429</v>
      </c>
      <c r="BG330" s="10">
        <f t="shared" si="125"/>
        <v>2.9363840644778429</v>
      </c>
      <c r="BH330" s="10">
        <f t="shared" si="125"/>
        <v>2.9363840644778429</v>
      </c>
      <c r="BI330" s="10">
        <f t="shared" si="125"/>
        <v>2.9363840644778429</v>
      </c>
    </row>
    <row r="331" spans="1:61">
      <c r="A331" s="8" t="str">
        <f t="shared" si="112"/>
        <v>Prędkość 130,00÷139,99 km/h</v>
      </c>
      <c r="B331" s="110" t="s">
        <v>25</v>
      </c>
      <c r="C331" s="13"/>
      <c r="D331" s="13"/>
      <c r="E331" s="13"/>
      <c r="F331" s="13"/>
      <c r="G331" s="13"/>
      <c r="H331" s="13"/>
      <c r="I331" s="13"/>
      <c r="J331" s="13"/>
      <c r="K331" s="13"/>
      <c r="L331" s="13"/>
      <c r="M331" s="13"/>
      <c r="N331" s="13"/>
      <c r="O331" s="13"/>
      <c r="P331" s="13"/>
      <c r="Q331" s="78"/>
      <c r="R331" s="78"/>
      <c r="S331" s="78"/>
      <c r="T331" s="10">
        <f t="shared" ref="T331:BI331" si="126">($U186*$U$205*T$215)*U$57+(0)*U$58</f>
        <v>2.1894540476335491</v>
      </c>
      <c r="U331" s="10">
        <f t="shared" si="126"/>
        <v>2.2638954852530899</v>
      </c>
      <c r="V331" s="10">
        <f t="shared" si="126"/>
        <v>2.3793541550009971</v>
      </c>
      <c r="W331" s="10">
        <f t="shared" si="126"/>
        <v>2.7219811533211411</v>
      </c>
      <c r="X331" s="10">
        <f t="shared" si="126"/>
        <v>3.0322870047997514</v>
      </c>
      <c r="Y331" s="10">
        <f t="shared" si="126"/>
        <v>3.0322870047997514</v>
      </c>
      <c r="Z331" s="10">
        <f t="shared" si="126"/>
        <v>3.0322870047997514</v>
      </c>
      <c r="AA331" s="10">
        <f t="shared" si="126"/>
        <v>3.0322870047997514</v>
      </c>
      <c r="AB331" s="10">
        <f t="shared" si="126"/>
        <v>3.0322870047997514</v>
      </c>
      <c r="AC331" s="10">
        <f t="shared" si="126"/>
        <v>3.0322870047997514</v>
      </c>
      <c r="AD331" s="10">
        <f t="shared" si="126"/>
        <v>3.0322870047997514</v>
      </c>
      <c r="AE331" s="10">
        <f t="shared" si="126"/>
        <v>3.0322870047997514</v>
      </c>
      <c r="AF331" s="10">
        <f t="shared" si="126"/>
        <v>3.0322870047997514</v>
      </c>
      <c r="AG331" s="10">
        <f t="shared" si="126"/>
        <v>3.0322870047997514</v>
      </c>
      <c r="AH331" s="10">
        <f t="shared" si="126"/>
        <v>3.0322870047997514</v>
      </c>
      <c r="AI331" s="10">
        <f t="shared" si="126"/>
        <v>3.0322870047997514</v>
      </c>
      <c r="AJ331" s="10">
        <f t="shared" si="126"/>
        <v>3.0322870047997514</v>
      </c>
      <c r="AK331" s="10">
        <f t="shared" si="126"/>
        <v>3.0322870047997514</v>
      </c>
      <c r="AL331" s="10">
        <f t="shared" si="126"/>
        <v>3.0322870047997514</v>
      </c>
      <c r="AM331" s="10">
        <f t="shared" si="126"/>
        <v>3.0322870047997514</v>
      </c>
      <c r="AN331" s="10">
        <f t="shared" si="126"/>
        <v>3.0322870047997514</v>
      </c>
      <c r="AO331" s="10">
        <f t="shared" si="126"/>
        <v>3.0322870047997514</v>
      </c>
      <c r="AP331" s="10">
        <f t="shared" si="126"/>
        <v>3.0322870047997514</v>
      </c>
      <c r="AQ331" s="10">
        <f t="shared" si="126"/>
        <v>3.0322870047997514</v>
      </c>
      <c r="AR331" s="10">
        <f t="shared" si="126"/>
        <v>3.0322870047997514</v>
      </c>
      <c r="AS331" s="10">
        <f t="shared" si="126"/>
        <v>3.0322870047997514</v>
      </c>
      <c r="AT331" s="10">
        <f t="shared" si="126"/>
        <v>3.0322870047997514</v>
      </c>
      <c r="AU331" s="10">
        <f t="shared" si="126"/>
        <v>3.0322870047997514</v>
      </c>
      <c r="AV331" s="10">
        <f t="shared" si="126"/>
        <v>3.0322870047997514</v>
      </c>
      <c r="AW331" s="10">
        <f t="shared" si="126"/>
        <v>3.0322870047997514</v>
      </c>
      <c r="AX331" s="10">
        <f t="shared" si="126"/>
        <v>3.0322870047997514</v>
      </c>
      <c r="AY331" s="10">
        <f t="shared" si="126"/>
        <v>3.0322870047997514</v>
      </c>
      <c r="AZ331" s="10">
        <f t="shared" si="126"/>
        <v>3.0322870047997514</v>
      </c>
      <c r="BA331" s="10">
        <f t="shared" si="126"/>
        <v>3.0322870047997514</v>
      </c>
      <c r="BB331" s="10">
        <f t="shared" si="126"/>
        <v>3.0322870047997514</v>
      </c>
      <c r="BC331" s="10">
        <f t="shared" si="126"/>
        <v>3.0322870047997514</v>
      </c>
      <c r="BD331" s="10">
        <f t="shared" si="126"/>
        <v>3.0322870047997514</v>
      </c>
      <c r="BE331" s="10">
        <f t="shared" si="126"/>
        <v>3.0322870047997514</v>
      </c>
      <c r="BF331" s="10">
        <f t="shared" si="126"/>
        <v>3.0322870047997514</v>
      </c>
      <c r="BG331" s="10">
        <f t="shared" si="126"/>
        <v>3.0322870047997514</v>
      </c>
      <c r="BH331" s="10">
        <f t="shared" si="126"/>
        <v>3.0322870047997514</v>
      </c>
      <c r="BI331" s="10">
        <f t="shared" si="126"/>
        <v>3.0322870047997514</v>
      </c>
    </row>
    <row r="332" spans="1:61"/>
  </sheetData>
  <mergeCells count="54">
    <mergeCell ref="AD84:AG86"/>
    <mergeCell ref="A284:A285"/>
    <mergeCell ref="AN18:AO18"/>
    <mergeCell ref="S83:U83"/>
    <mergeCell ref="W83:Y83"/>
    <mergeCell ref="S251:U253"/>
    <mergeCell ref="W251:Y253"/>
    <mergeCell ref="W25:AD30"/>
    <mergeCell ref="A60:V61"/>
    <mergeCell ref="A39:V40"/>
    <mergeCell ref="A62:V63"/>
    <mergeCell ref="A68:V69"/>
    <mergeCell ref="A70:V71"/>
    <mergeCell ref="A78:V80"/>
    <mergeCell ref="A105:V106"/>
    <mergeCell ref="A221:V223"/>
    <mergeCell ref="A300:A301"/>
    <mergeCell ref="AR18:AS18"/>
    <mergeCell ref="P25:U26"/>
    <mergeCell ref="A226:A227"/>
    <mergeCell ref="S171:U171"/>
    <mergeCell ref="W170:Y170"/>
    <mergeCell ref="W171:Y171"/>
    <mergeCell ref="AL18:AM18"/>
    <mergeCell ref="AA81:AH82"/>
    <mergeCell ref="AA169:AH170"/>
    <mergeCell ref="S81:U81"/>
    <mergeCell ref="W81:Y81"/>
    <mergeCell ref="S170:U170"/>
    <mergeCell ref="S82:U82"/>
    <mergeCell ref="W82:Y82"/>
    <mergeCell ref="AD172:AG174"/>
    <mergeCell ref="A224:V225"/>
    <mergeCell ref="S191:Z192"/>
    <mergeCell ref="A219:V220"/>
    <mergeCell ref="A107:V108"/>
    <mergeCell ref="A109:V109"/>
    <mergeCell ref="S115:AB117"/>
    <mergeCell ref="S208:AB210"/>
    <mergeCell ref="A198:V199"/>
    <mergeCell ref="A200:V201"/>
    <mergeCell ref="A130:V131"/>
    <mergeCell ref="A134:V135"/>
    <mergeCell ref="A149:V151"/>
    <mergeCell ref="A165:V167"/>
    <mergeCell ref="S168:U169"/>
    <mergeCell ref="W168:Y169"/>
    <mergeCell ref="S259:AB261"/>
    <mergeCell ref="A280:V281"/>
    <mergeCell ref="A282:V283"/>
    <mergeCell ref="A296:V299"/>
    <mergeCell ref="A278:V279"/>
    <mergeCell ref="A292:V293"/>
    <mergeCell ref="A294:V295"/>
  </mergeCells>
  <conditionalFormatting sqref="T173:T186">
    <cfRule type="colorScale" priority="16">
      <colorScale>
        <cfvo type="min"/>
        <cfvo type="percentile" val="50"/>
        <cfvo type="max"/>
        <color rgb="FF63BE7B"/>
        <color rgb="FFFFEB84"/>
        <color rgb="FFF8696B"/>
      </colorScale>
    </cfRule>
  </conditionalFormatting>
  <conditionalFormatting sqref="U173:U186">
    <cfRule type="colorScale" priority="15">
      <colorScale>
        <cfvo type="min"/>
        <cfvo type="percentile" val="50"/>
        <cfvo type="max"/>
        <color rgb="FF63BE7B"/>
        <color rgb="FFFFEB84"/>
        <color rgb="FFF8696B"/>
      </colorScale>
    </cfRule>
  </conditionalFormatting>
  <conditionalFormatting sqref="X173:X186">
    <cfRule type="colorScale" priority="14">
      <colorScale>
        <cfvo type="min"/>
        <cfvo type="percentile" val="50"/>
        <cfvo type="max"/>
        <color rgb="FF63BE7B"/>
        <color rgb="FFFFEB84"/>
        <color rgb="FFF8696B"/>
      </colorScale>
    </cfRule>
  </conditionalFormatting>
  <conditionalFormatting sqref="Y173:Y186">
    <cfRule type="colorScale" priority="13">
      <colorScale>
        <cfvo type="min"/>
        <cfvo type="percentile" val="50"/>
        <cfvo type="max"/>
        <color rgb="FF63BE7B"/>
        <color rgb="FFFFEB84"/>
        <color rgb="FFF8696B"/>
      </colorScale>
    </cfRule>
  </conditionalFormatting>
  <conditionalFormatting sqref="T85:T98">
    <cfRule type="colorScale" priority="4">
      <colorScale>
        <cfvo type="min"/>
        <cfvo type="percentile" val="50"/>
        <cfvo type="max"/>
        <color rgb="FF63BE7B"/>
        <color rgb="FFFFEB84"/>
        <color rgb="FFF8696B"/>
      </colorScale>
    </cfRule>
  </conditionalFormatting>
  <conditionalFormatting sqref="U85:U98">
    <cfRule type="colorScale" priority="3">
      <colorScale>
        <cfvo type="min"/>
        <cfvo type="percentile" val="50"/>
        <cfvo type="max"/>
        <color rgb="FF63BE7B"/>
        <color rgb="FFFFEB84"/>
        <color rgb="FFF8696B"/>
      </colorScale>
    </cfRule>
  </conditionalFormatting>
  <conditionalFormatting sqref="X85:X98">
    <cfRule type="colorScale" priority="2">
      <colorScale>
        <cfvo type="min"/>
        <cfvo type="percentile" val="50"/>
        <cfvo type="max"/>
        <color rgb="FF63BE7B"/>
        <color rgb="FFFFEB84"/>
        <color rgb="FFF8696B"/>
      </colorScale>
    </cfRule>
  </conditionalFormatting>
  <conditionalFormatting sqref="Y85:Y98">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64"/>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0" defaultRowHeight="15" customHeight="1" zeroHeight="1" outlineLevelRow="1" outlineLevelCol="1"/>
  <cols>
    <col min="1" max="1" width="30.7109375" style="521" customWidth="1"/>
    <col min="2" max="2" width="9.140625" style="521" customWidth="1"/>
    <col min="3" max="15" width="1.7109375" style="521" hidden="1" customWidth="1" outlineLevel="1"/>
    <col min="16" max="16" width="9.140625" style="521" customWidth="1" collapsed="1"/>
    <col min="17" max="62" width="9.140625" style="521" customWidth="1"/>
    <col min="63" max="16384" width="9.140625" style="521" hidden="1"/>
  </cols>
  <sheetData>
    <row r="1" spans="1:61" ht="21">
      <c r="A1" s="4" t="s">
        <v>622</v>
      </c>
      <c r="B1" s="5"/>
      <c r="C1" s="88"/>
      <c r="D1" s="88"/>
      <c r="E1" s="88"/>
      <c r="F1" s="88"/>
      <c r="G1" s="88"/>
      <c r="H1" s="88"/>
      <c r="I1" s="88"/>
      <c r="J1" s="88"/>
      <c r="K1" s="88"/>
      <c r="L1" s="5"/>
      <c r="M1" s="88"/>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row>
    <row r="2" spans="1:61">
      <c r="A2" s="521" t="str">
        <f>Indeksacja!$A$2</f>
        <v>Dla roku bazowego 2024 właściwe do zastosowania w analizie są wartości kosztów jednostkowych określone według poziomu cenowego z końca roku poprzedniego, tzn. 2023.</v>
      </c>
    </row>
    <row r="3" spans="1:61" ht="15" customHeight="1"/>
    <row r="4" spans="1:61">
      <c r="A4" s="1" t="str">
        <f>'VoT czas ładunki'!A4</f>
        <v>Parametry pociągów przyjęte do określenia kosztów jednostkowych</v>
      </c>
    </row>
    <row r="5" spans="1:61">
      <c r="A5" s="9" t="str">
        <f>'VoT czas ładunki'!A5:B5</f>
        <v>Typ pociągu towarowego</v>
      </c>
      <c r="B5" s="6"/>
      <c r="C5" s="6">
        <f>'VoT czas ładunki'!C5:D5</f>
        <v>0</v>
      </c>
      <c r="D5" s="6"/>
      <c r="E5" s="6"/>
      <c r="F5" s="6"/>
      <c r="G5" s="6"/>
      <c r="H5" s="6"/>
      <c r="I5" s="6"/>
      <c r="J5" s="6"/>
      <c r="K5" s="6"/>
      <c r="L5" s="6"/>
      <c r="M5" s="6"/>
      <c r="N5" s="6"/>
      <c r="O5" s="6"/>
      <c r="P5" s="777" t="str">
        <f>'VoT czas ładunki'!P5:Q5</f>
        <v>Pociąg blokowy (bezpośredni)</v>
      </c>
      <c r="Q5" s="778"/>
      <c r="R5" s="778">
        <f>'VoT czas ładunki'!R5:S5</f>
        <v>0</v>
      </c>
      <c r="S5" s="779"/>
      <c r="T5" s="777" t="str">
        <f>'VoT czas ładunki'!T5:U5</f>
        <v>Pociąg grupowy</v>
      </c>
      <c r="U5" s="778"/>
      <c r="V5" s="778">
        <f>'VoT czas ładunki'!V5:W5</f>
        <v>0</v>
      </c>
      <c r="W5" s="779"/>
      <c r="X5" s="777" t="str">
        <f>'VoT czas ładunki'!X5:Y5</f>
        <v>Pociąg kontenerowy, intermodalny</v>
      </c>
      <c r="Y5" s="778"/>
      <c r="Z5" s="778">
        <f>'VoT czas ładunki'!Z5:AA5</f>
        <v>0</v>
      </c>
      <c r="AA5" s="779"/>
    </row>
    <row r="6" spans="1:61">
      <c r="A6" s="9" t="str">
        <f>'VoT czas ładunki'!A6:B6</f>
        <v>Trakcja</v>
      </c>
      <c r="B6" s="6"/>
      <c r="C6" s="6">
        <f>'VoT czas ładunki'!C6:D6</f>
        <v>0</v>
      </c>
      <c r="D6" s="6"/>
      <c r="E6" s="6"/>
      <c r="F6" s="6"/>
      <c r="G6" s="6"/>
      <c r="H6" s="6"/>
      <c r="I6" s="6"/>
      <c r="J6" s="6"/>
      <c r="K6" s="6"/>
      <c r="L6" s="6"/>
      <c r="M6" s="6"/>
      <c r="N6" s="6"/>
      <c r="O6" s="6"/>
      <c r="P6" s="777" t="str">
        <f>'VoT czas ładunki'!P6:Q6</f>
        <v>elektryczna</v>
      </c>
      <c r="Q6" s="779"/>
      <c r="R6" s="777" t="str">
        <f>'VoT czas ładunki'!R6:S6</f>
        <v>spalinowa</v>
      </c>
      <c r="S6" s="779"/>
      <c r="T6" s="777" t="str">
        <f>'VoT czas ładunki'!T6:U6</f>
        <v>elektryczna</v>
      </c>
      <c r="U6" s="779"/>
      <c r="V6" s="777" t="str">
        <f>'VoT czas ładunki'!V6:W6</f>
        <v>spalinowa</v>
      </c>
      <c r="W6" s="779"/>
      <c r="X6" s="777" t="str">
        <f>'VoT czas ładunki'!X6:Y6</f>
        <v>elektryczna</v>
      </c>
      <c r="Y6" s="779"/>
      <c r="Z6" s="777" t="str">
        <f>'VoT czas ładunki'!Z6:AA6</f>
        <v>spalinowa</v>
      </c>
      <c r="AA6" s="779"/>
    </row>
    <row r="7" spans="1:61">
      <c r="A7" s="8" t="str">
        <f>'VoT czas ładunki'!A7</f>
        <v>Liczba wagonów</v>
      </c>
      <c r="B7" s="524" t="str">
        <f>'VoT czas ładunki'!B7</f>
        <v>[szt.]</v>
      </c>
      <c r="C7" s="75">
        <f>'VoT czas ładunki'!C7:D7</f>
        <v>0</v>
      </c>
      <c r="D7" s="75"/>
      <c r="E7" s="75"/>
      <c r="F7" s="75"/>
      <c r="G7" s="75"/>
      <c r="H7" s="75"/>
      <c r="I7" s="75"/>
      <c r="J7" s="75"/>
      <c r="K7" s="75"/>
      <c r="L7" s="75"/>
      <c r="M7" s="75"/>
      <c r="N7" s="75"/>
      <c r="O7" s="75"/>
      <c r="P7" s="775">
        <f>'VoT czas ładunki'!P7:Q7</f>
        <v>18</v>
      </c>
      <c r="Q7" s="776"/>
      <c r="R7" s="775">
        <f>'VoT czas ładunki'!R7:S7</f>
        <v>18</v>
      </c>
      <c r="S7" s="776"/>
      <c r="T7" s="775">
        <f>'VoT czas ładunki'!T7:U7</f>
        <v>18</v>
      </c>
      <c r="U7" s="776"/>
      <c r="V7" s="775">
        <f>'VoT czas ładunki'!V7:W7</f>
        <v>18</v>
      </c>
      <c r="W7" s="776"/>
      <c r="X7" s="775">
        <f>'VoT czas ładunki'!X7:Y7</f>
        <v>20</v>
      </c>
      <c r="Y7" s="776"/>
      <c r="Z7" s="775">
        <f>'VoT czas ładunki'!Z7:AA7</f>
        <v>20</v>
      </c>
      <c r="AA7" s="776"/>
    </row>
    <row r="8" spans="1:61">
      <c r="A8" s="8" t="str">
        <f>'VoT czas ładunki'!A8</f>
        <v>Masa całkowita pociągu brutto</v>
      </c>
      <c r="B8" s="524" t="str">
        <f>'VoT czas ładunki'!B8</f>
        <v>[t]</v>
      </c>
      <c r="C8" s="75">
        <f>'VoT czas ładunki'!C8:D8</f>
        <v>0</v>
      </c>
      <c r="D8" s="75"/>
      <c r="E8" s="75"/>
      <c r="F8" s="75"/>
      <c r="G8" s="75"/>
      <c r="H8" s="75"/>
      <c r="I8" s="75"/>
      <c r="J8" s="75"/>
      <c r="K8" s="75"/>
      <c r="L8" s="75"/>
      <c r="M8" s="75"/>
      <c r="N8" s="75"/>
      <c r="O8" s="75"/>
      <c r="P8" s="775">
        <f>'VoT czas ładunki'!P8:Q8</f>
        <v>1705</v>
      </c>
      <c r="Q8" s="776"/>
      <c r="R8" s="775">
        <f>'VoT czas ładunki'!R8:S8</f>
        <v>1733</v>
      </c>
      <c r="S8" s="776"/>
      <c r="T8" s="775">
        <f>'VoT czas ładunki'!T8:U8</f>
        <v>1705</v>
      </c>
      <c r="U8" s="776"/>
      <c r="V8" s="775">
        <f>'VoT czas ładunki'!V8:W8</f>
        <v>1733</v>
      </c>
      <c r="W8" s="776"/>
      <c r="X8" s="775">
        <f>'VoT czas ładunki'!X8:Y8</f>
        <v>1385</v>
      </c>
      <c r="Y8" s="776"/>
      <c r="Z8" s="775">
        <f>'VoT czas ładunki'!Z8:AA8</f>
        <v>1413</v>
      </c>
      <c r="AA8" s="776"/>
    </row>
    <row r="9" spans="1:61" ht="15" customHeight="1">
      <c r="A9" s="8" t="str">
        <f>'VoT czas ładunki'!A9</f>
        <v>Masa netto ładunku (ładowność)</v>
      </c>
      <c r="B9" s="524" t="str">
        <f>'VoT czas ładunki'!B9</f>
        <v>[t]</v>
      </c>
      <c r="C9" s="75">
        <f>'VoT czas ładunki'!C9:D9</f>
        <v>0</v>
      </c>
      <c r="D9" s="75"/>
      <c r="E9" s="75"/>
      <c r="F9" s="75"/>
      <c r="G9" s="75"/>
      <c r="H9" s="75"/>
      <c r="I9" s="75"/>
      <c r="J9" s="75"/>
      <c r="K9" s="75"/>
      <c r="L9" s="75"/>
      <c r="M9" s="75"/>
      <c r="N9" s="75"/>
      <c r="O9" s="75"/>
      <c r="P9" s="775">
        <f>'VoT czas ładunki'!P9:Q9</f>
        <v>1143</v>
      </c>
      <c r="Q9" s="776"/>
      <c r="R9" s="775">
        <f>'VoT czas ładunki'!R9:S9</f>
        <v>1143</v>
      </c>
      <c r="S9" s="776"/>
      <c r="T9" s="775">
        <f>'VoT czas ładunki'!T9:U9</f>
        <v>1143</v>
      </c>
      <c r="U9" s="776"/>
      <c r="V9" s="775">
        <f>'VoT czas ładunki'!V9:W9</f>
        <v>1143</v>
      </c>
      <c r="W9" s="776"/>
      <c r="X9" s="775">
        <f>'VoT czas ładunki'!X9:Y9</f>
        <v>750</v>
      </c>
      <c r="Y9" s="776"/>
      <c r="Z9" s="775">
        <f>'VoT czas ładunki'!Z9:AA9</f>
        <v>750</v>
      </c>
      <c r="AA9" s="776"/>
    </row>
    <row r="10" spans="1:61">
      <c r="A10" s="8" t="str">
        <f>'VoT czas ładunki'!A10</f>
        <v>Masa ładunku na wagon</v>
      </c>
      <c r="B10" s="524" t="str">
        <f>'VoT czas ładunki'!B10</f>
        <v>[t/wag]</v>
      </c>
      <c r="C10" s="75">
        <f>'VoT czas ładunki'!C10:D10</f>
        <v>0</v>
      </c>
      <c r="D10" s="75"/>
      <c r="E10" s="75"/>
      <c r="F10" s="75"/>
      <c r="G10" s="75"/>
      <c r="H10" s="75"/>
      <c r="I10" s="75"/>
      <c r="J10" s="75"/>
      <c r="K10" s="75"/>
      <c r="L10" s="75"/>
      <c r="M10" s="75"/>
      <c r="N10" s="75"/>
      <c r="O10" s="75"/>
      <c r="P10" s="763">
        <f>P9/P7</f>
        <v>63.5</v>
      </c>
      <c r="Q10" s="764"/>
      <c r="R10" s="763">
        <f>R9/R7</f>
        <v>63.5</v>
      </c>
      <c r="S10" s="764"/>
      <c r="T10" s="763">
        <f>T9/T7</f>
        <v>63.5</v>
      </c>
      <c r="U10" s="764"/>
      <c r="V10" s="763">
        <f>V9/V7</f>
        <v>63.5</v>
      </c>
      <c r="W10" s="764"/>
      <c r="X10" s="763">
        <f>X9/X7</f>
        <v>37.5</v>
      </c>
      <c r="Y10" s="764"/>
      <c r="Z10" s="763">
        <f>Z9/Z7</f>
        <v>37.5</v>
      </c>
      <c r="AA10" s="764"/>
    </row>
    <row r="11" spans="1:61">
      <c r="A11" s="35" t="str">
        <f>'VoT czas ładunki'!A11:B11</f>
        <v xml:space="preserve">Źródło: badanie przeprowadzone we Francji (CGSP, 2013) </v>
      </c>
      <c r="C11" s="521">
        <f>'VoT czas ładunki'!C11:D11</f>
        <v>0</v>
      </c>
    </row>
    <row r="12" spans="1:61" hidden="1" outlineLevel="1"/>
    <row r="13" spans="1:61" hidden="1" outlineLevel="1">
      <c r="A13" s="1" t="s">
        <v>623</v>
      </c>
    </row>
    <row r="14" spans="1:61" hidden="1" outlineLevel="1">
      <c r="A14" s="521" t="s">
        <v>558</v>
      </c>
    </row>
    <row r="15" spans="1:61" hidden="1" outlineLevel="1">
      <c r="A15" s="9" t="s">
        <v>329</v>
      </c>
      <c r="B15" s="6"/>
      <c r="C15" s="6"/>
      <c r="D15" s="6"/>
      <c r="E15" s="6"/>
      <c r="F15" s="6"/>
      <c r="G15" s="6"/>
      <c r="H15" s="6"/>
      <c r="I15" s="6"/>
      <c r="J15" s="6"/>
      <c r="K15" s="6"/>
      <c r="L15" s="6"/>
      <c r="M15" s="6"/>
      <c r="N15" s="6"/>
      <c r="O15" s="6"/>
      <c r="P15" s="777" t="s">
        <v>343</v>
      </c>
      <c r="Q15" s="778"/>
      <c r="R15" s="778"/>
      <c r="S15" s="779"/>
      <c r="T15" s="777" t="s">
        <v>344</v>
      </c>
      <c r="U15" s="778"/>
      <c r="V15" s="778"/>
      <c r="W15" s="779"/>
      <c r="X15" s="777" t="s">
        <v>345</v>
      </c>
      <c r="Y15" s="778"/>
      <c r="Z15" s="778"/>
      <c r="AA15" s="779"/>
    </row>
    <row r="16" spans="1:61" hidden="1" outlineLevel="1">
      <c r="A16" s="9" t="s">
        <v>326</v>
      </c>
      <c r="B16" s="6"/>
      <c r="C16" s="6"/>
      <c r="D16" s="6"/>
      <c r="E16" s="6"/>
      <c r="F16" s="6"/>
      <c r="G16" s="6"/>
      <c r="H16" s="6"/>
      <c r="I16" s="6"/>
      <c r="J16" s="6"/>
      <c r="K16" s="6"/>
      <c r="L16" s="6"/>
      <c r="M16" s="6"/>
      <c r="N16" s="6"/>
      <c r="O16" s="6"/>
      <c r="P16" s="777" t="s">
        <v>327</v>
      </c>
      <c r="Q16" s="779"/>
      <c r="R16" s="777" t="s">
        <v>328</v>
      </c>
      <c r="S16" s="779"/>
      <c r="T16" s="777" t="s">
        <v>327</v>
      </c>
      <c r="U16" s="779"/>
      <c r="V16" s="777" t="s">
        <v>328</v>
      </c>
      <c r="W16" s="779"/>
      <c r="X16" s="777" t="s">
        <v>327</v>
      </c>
      <c r="Y16" s="779"/>
      <c r="Z16" s="777" t="s">
        <v>328</v>
      </c>
      <c r="AA16" s="779"/>
    </row>
    <row r="17" spans="1:27" hidden="1" outlineLevel="1">
      <c r="A17" s="8" t="s">
        <v>62</v>
      </c>
      <c r="B17" s="75"/>
      <c r="C17" s="75"/>
      <c r="D17" s="75"/>
      <c r="E17" s="75"/>
      <c r="F17" s="75"/>
      <c r="G17" s="75"/>
      <c r="H17" s="75"/>
      <c r="I17" s="75"/>
      <c r="J17" s="75"/>
      <c r="K17" s="75"/>
      <c r="L17" s="75"/>
      <c r="M17" s="75"/>
      <c r="N17" s="75"/>
      <c r="O17" s="75"/>
      <c r="P17" s="763">
        <v>3.12</v>
      </c>
      <c r="Q17" s="764"/>
      <c r="R17" s="763">
        <v>4.3</v>
      </c>
      <c r="S17" s="764"/>
      <c r="T17" s="763">
        <v>3.12</v>
      </c>
      <c r="U17" s="764"/>
      <c r="V17" s="763">
        <v>4.3</v>
      </c>
      <c r="W17" s="764"/>
      <c r="X17" s="763">
        <v>3.12</v>
      </c>
      <c r="Y17" s="764"/>
      <c r="Z17" s="763">
        <v>4.3</v>
      </c>
      <c r="AA17" s="764"/>
    </row>
    <row r="18" spans="1:27" hidden="1" outlineLevel="1">
      <c r="A18" s="35" t="s">
        <v>560</v>
      </c>
    </row>
    <row r="19" spans="1:27" hidden="1" outlineLevel="1">
      <c r="A19" s="521" t="s">
        <v>624</v>
      </c>
    </row>
    <row r="20" spans="1:27" hidden="1" outlineLevel="1"/>
    <row r="21" spans="1:27" hidden="1" outlineLevel="1"/>
    <row r="22" spans="1:27" hidden="1" outlineLevel="1">
      <c r="A22" s="9" t="s">
        <v>2</v>
      </c>
      <c r="B22" s="6"/>
      <c r="C22" s="6"/>
      <c r="D22" s="6"/>
      <c r="E22" s="6"/>
      <c r="F22" s="6"/>
      <c r="G22" s="6"/>
      <c r="H22" s="6"/>
      <c r="I22" s="6"/>
      <c r="J22" s="6"/>
      <c r="K22" s="6"/>
      <c r="L22" s="6"/>
      <c r="M22" s="6"/>
      <c r="N22" s="6"/>
      <c r="O22" s="6"/>
      <c r="P22" s="6"/>
      <c r="Q22" s="6">
        <v>2010</v>
      </c>
    </row>
    <row r="23" spans="1:27" hidden="1" outlineLevel="1">
      <c r="A23" s="8" t="s">
        <v>3</v>
      </c>
      <c r="B23" s="12"/>
      <c r="C23" s="12"/>
      <c r="D23" s="12"/>
      <c r="E23" s="12"/>
      <c r="F23" s="12"/>
      <c r="G23" s="12"/>
      <c r="H23" s="12"/>
      <c r="I23" s="12"/>
      <c r="J23" s="12"/>
      <c r="K23" s="12"/>
      <c r="L23" s="12"/>
      <c r="M23" s="12"/>
      <c r="N23" s="12"/>
      <c r="O23" s="12"/>
      <c r="P23" s="12"/>
      <c r="Q23" s="11">
        <f>Indeksacja!$K$41</f>
        <v>3.9946999999999999</v>
      </c>
    </row>
    <row r="24" spans="1:27" hidden="1" outlineLevel="1">
      <c r="A24" s="35" t="str">
        <f>Indeksacja!$A$42</f>
        <v>Źródło: ECB, http://sdw.ecb.europa.eu/quickview.do?SERIES_KEY=120.EXR.A.PLN.EUR.SP00.A</v>
      </c>
    </row>
    <row r="25" spans="1:27" hidden="1" outlineLevel="1"/>
    <row r="26" spans="1:27" ht="30" hidden="1" outlineLevel="1">
      <c r="A26" s="131" t="s">
        <v>565</v>
      </c>
      <c r="B26" s="6"/>
      <c r="C26" s="6"/>
      <c r="D26" s="6"/>
      <c r="E26" s="6"/>
      <c r="F26" s="6"/>
      <c r="G26" s="6"/>
      <c r="H26" s="6"/>
      <c r="I26" s="6"/>
      <c r="J26" s="6"/>
      <c r="K26" s="6"/>
      <c r="L26" s="6"/>
      <c r="M26" s="6"/>
      <c r="N26" s="6"/>
      <c r="O26" s="6"/>
      <c r="P26" s="6"/>
      <c r="Q26" s="6">
        <v>2010</v>
      </c>
    </row>
    <row r="27" spans="1:27" hidden="1" outlineLevel="1">
      <c r="A27" s="8" t="s">
        <v>62</v>
      </c>
      <c r="B27" s="484"/>
      <c r="C27" s="484"/>
      <c r="D27" s="484"/>
      <c r="E27" s="484"/>
      <c r="F27" s="484"/>
      <c r="G27" s="484"/>
      <c r="H27" s="484"/>
      <c r="I27" s="484"/>
      <c r="J27" s="484"/>
      <c r="K27" s="484"/>
      <c r="L27" s="484"/>
      <c r="M27" s="484"/>
      <c r="N27" s="484"/>
      <c r="O27" s="484"/>
      <c r="P27" s="484"/>
      <c r="Q27" s="470">
        <f>Indeksacja!$K$44</f>
        <v>62.4</v>
      </c>
    </row>
    <row r="28" spans="1:27" hidden="1" outlineLevel="1">
      <c r="A28" s="35" t="str">
        <f>Indeksacja!$A$45</f>
        <v>Źródło: Eurostat, https://ec.europa.eu/eurostat/data/database Main GDP aggregates per capita [nama_10_pc] (aktualizacja 28.01.2022)</v>
      </c>
    </row>
    <row r="29" spans="1:27" s="592" customFormat="1" hidden="1" outlineLevel="1">
      <c r="A29" s="76"/>
    </row>
    <row r="30" spans="1:27" s="592" customFormat="1" hidden="1" outlineLevel="1">
      <c r="A30" s="774" t="str">
        <f>'VoT czas ładunki'!$A$41</f>
        <v xml:space="preserve">Wyjaśnienie w sprawie przeliczenia wyjściowych wartości kosztów jednostkowych z zastosowaniem kursu walutowego PLN/EUR oraz PKB Polski per capita w jednostkach siły nabywczej (PPS): </v>
      </c>
      <c r="B30" s="774"/>
      <c r="C30" s="774"/>
      <c r="D30" s="774"/>
      <c r="E30" s="774"/>
      <c r="F30" s="774"/>
      <c r="G30" s="774"/>
      <c r="H30" s="774"/>
      <c r="I30" s="774"/>
      <c r="J30" s="774"/>
      <c r="K30" s="774"/>
      <c r="L30" s="774"/>
      <c r="M30" s="774"/>
      <c r="N30" s="774"/>
      <c r="O30" s="774"/>
      <c r="P30" s="774"/>
      <c r="Q30" s="774"/>
      <c r="R30" s="774"/>
      <c r="S30" s="774"/>
      <c r="T30" s="774"/>
      <c r="U30" s="774"/>
      <c r="V30" s="774"/>
    </row>
    <row r="31" spans="1:27" s="672" customFormat="1" hidden="1" outlineLevel="1">
      <c r="A31" s="774"/>
      <c r="B31" s="774"/>
      <c r="C31" s="774"/>
      <c r="D31" s="774"/>
      <c r="E31" s="774"/>
      <c r="F31" s="774"/>
      <c r="G31" s="774"/>
      <c r="H31" s="774"/>
      <c r="I31" s="774"/>
      <c r="J31" s="774"/>
      <c r="K31" s="774"/>
      <c r="L31" s="774"/>
      <c r="M31" s="774"/>
      <c r="N31" s="774"/>
      <c r="O31" s="774"/>
      <c r="P31" s="774"/>
      <c r="Q31" s="774"/>
      <c r="R31" s="774"/>
      <c r="S31" s="774"/>
      <c r="T31" s="774"/>
      <c r="U31" s="774"/>
      <c r="V31" s="774"/>
    </row>
    <row r="32" spans="1:27" s="592" customFormat="1" hidden="1" outlineLevel="1">
      <c r="A32" s="517" t="s">
        <v>511</v>
      </c>
    </row>
    <row r="33" spans="1:61" ht="15" customHeight="1" collapsed="1"/>
    <row r="34" spans="1:61">
      <c r="A34" s="9" t="s">
        <v>293</v>
      </c>
      <c r="B34" s="6"/>
      <c r="C34" s="6"/>
      <c r="D34" s="6"/>
      <c r="E34" s="6"/>
      <c r="F34" s="6"/>
      <c r="G34" s="6"/>
      <c r="H34" s="6"/>
      <c r="I34" s="6"/>
      <c r="J34" s="6"/>
      <c r="K34" s="6"/>
      <c r="L34" s="6"/>
      <c r="M34" s="6"/>
      <c r="N34" s="6"/>
      <c r="O34" s="6"/>
      <c r="P34" s="6"/>
      <c r="Q34" s="6"/>
      <c r="R34" s="183"/>
      <c r="S34" s="504" t="s">
        <v>512</v>
      </c>
      <c r="T34" s="523">
        <v>2019</v>
      </c>
      <c r="U34" s="6">
        <f t="shared" ref="U34:BI34" si="0">T34+1</f>
        <v>2020</v>
      </c>
      <c r="V34" s="6">
        <f t="shared" si="0"/>
        <v>2021</v>
      </c>
      <c r="W34" s="6">
        <f t="shared" si="0"/>
        <v>2022</v>
      </c>
      <c r="X34" s="6">
        <f t="shared" si="0"/>
        <v>2023</v>
      </c>
      <c r="Y34" s="6">
        <f t="shared" si="0"/>
        <v>2024</v>
      </c>
      <c r="Z34" s="6">
        <f t="shared" si="0"/>
        <v>2025</v>
      </c>
      <c r="AA34" s="6">
        <f t="shared" si="0"/>
        <v>2026</v>
      </c>
      <c r="AB34" s="6">
        <f t="shared" si="0"/>
        <v>2027</v>
      </c>
      <c r="AC34" s="6">
        <f t="shared" si="0"/>
        <v>2028</v>
      </c>
      <c r="AD34" s="6">
        <f t="shared" si="0"/>
        <v>2029</v>
      </c>
      <c r="AE34" s="6">
        <f t="shared" si="0"/>
        <v>2030</v>
      </c>
      <c r="AF34" s="6">
        <f t="shared" si="0"/>
        <v>2031</v>
      </c>
      <c r="AG34" s="6">
        <f t="shared" si="0"/>
        <v>2032</v>
      </c>
      <c r="AH34" s="6">
        <f t="shared" si="0"/>
        <v>2033</v>
      </c>
      <c r="AI34" s="6">
        <f t="shared" si="0"/>
        <v>2034</v>
      </c>
      <c r="AJ34" s="6">
        <f t="shared" si="0"/>
        <v>2035</v>
      </c>
      <c r="AK34" s="6">
        <f t="shared" si="0"/>
        <v>2036</v>
      </c>
      <c r="AL34" s="6">
        <f t="shared" si="0"/>
        <v>2037</v>
      </c>
      <c r="AM34" s="6">
        <f t="shared" si="0"/>
        <v>2038</v>
      </c>
      <c r="AN34" s="6">
        <f t="shared" si="0"/>
        <v>2039</v>
      </c>
      <c r="AO34" s="6">
        <f t="shared" si="0"/>
        <v>2040</v>
      </c>
      <c r="AP34" s="6">
        <f t="shared" si="0"/>
        <v>2041</v>
      </c>
      <c r="AQ34" s="6">
        <f t="shared" si="0"/>
        <v>2042</v>
      </c>
      <c r="AR34" s="6">
        <f t="shared" si="0"/>
        <v>2043</v>
      </c>
      <c r="AS34" s="6">
        <f t="shared" si="0"/>
        <v>2044</v>
      </c>
      <c r="AT34" s="6">
        <f t="shared" si="0"/>
        <v>2045</v>
      </c>
      <c r="AU34" s="6">
        <f t="shared" si="0"/>
        <v>2046</v>
      </c>
      <c r="AV34" s="6">
        <f t="shared" si="0"/>
        <v>2047</v>
      </c>
      <c r="AW34" s="6">
        <f t="shared" si="0"/>
        <v>2048</v>
      </c>
      <c r="AX34" s="6">
        <f t="shared" si="0"/>
        <v>2049</v>
      </c>
      <c r="AY34" s="6">
        <f t="shared" si="0"/>
        <v>2050</v>
      </c>
      <c r="AZ34" s="6">
        <f t="shared" si="0"/>
        <v>2051</v>
      </c>
      <c r="BA34" s="6">
        <f t="shared" si="0"/>
        <v>2052</v>
      </c>
      <c r="BB34" s="6">
        <f t="shared" si="0"/>
        <v>2053</v>
      </c>
      <c r="BC34" s="6">
        <f t="shared" si="0"/>
        <v>2054</v>
      </c>
      <c r="BD34" s="6">
        <f t="shared" si="0"/>
        <v>2055</v>
      </c>
      <c r="BE34" s="6">
        <f t="shared" si="0"/>
        <v>2056</v>
      </c>
      <c r="BF34" s="6">
        <f t="shared" si="0"/>
        <v>2057</v>
      </c>
      <c r="BG34" s="6">
        <f t="shared" si="0"/>
        <v>2058</v>
      </c>
      <c r="BH34" s="6">
        <f t="shared" si="0"/>
        <v>2059</v>
      </c>
      <c r="BI34" s="6">
        <f t="shared" si="0"/>
        <v>2060</v>
      </c>
    </row>
    <row r="35" spans="1:61" ht="30">
      <c r="A35" s="8" t="s">
        <v>5</v>
      </c>
      <c r="B35" s="13"/>
      <c r="C35" s="13"/>
      <c r="D35" s="13"/>
      <c r="E35" s="13"/>
      <c r="F35" s="13"/>
      <c r="G35" s="13"/>
      <c r="H35" s="13"/>
      <c r="I35" s="13"/>
      <c r="J35" s="13"/>
      <c r="K35" s="13"/>
      <c r="L35" s="13"/>
      <c r="M35" s="13"/>
      <c r="N35" s="13"/>
      <c r="O35" s="13"/>
      <c r="P35" s="13"/>
      <c r="Q35" s="13"/>
      <c r="R35" s="13"/>
      <c r="S35" s="185">
        <f>Indeksacja!L$6/100*Indeksacja!M$6/100*Indeksacja!N$6/100*Indeksacja!O$6/100*Indeksacja!P$6/100*Indeksacja!Q$6/100*Indeksacja!R$6/100*Indeksacja!S$6/100</f>
        <v>1.1140588927290365</v>
      </c>
      <c r="T35" s="188">
        <f>Indeksacja!T$6/100</f>
        <v>1.0229999999999999</v>
      </c>
      <c r="U35" s="111">
        <f>Indeksacja!U$6/100</f>
        <v>1.034</v>
      </c>
      <c r="V35" s="111">
        <f>Indeksacja!V$6/100</f>
        <v>1.0509999999999999</v>
      </c>
      <c r="W35" s="111">
        <f>Indeksacja!W$6/100</f>
        <v>1.1440000000000001</v>
      </c>
      <c r="X35" s="111">
        <f>Indeksacja!X$6/100</f>
        <v>1.1140000000000001</v>
      </c>
      <c r="Y35" s="19">
        <v>1</v>
      </c>
      <c r="Z35" s="19">
        <v>1</v>
      </c>
      <c r="AA35" s="19">
        <v>1</v>
      </c>
      <c r="AB35" s="19">
        <v>1</v>
      </c>
      <c r="AC35" s="19">
        <v>1</v>
      </c>
      <c r="AD35" s="19">
        <v>1</v>
      </c>
      <c r="AE35" s="19">
        <v>1</v>
      </c>
      <c r="AF35" s="19">
        <v>1</v>
      </c>
      <c r="AG35" s="19">
        <v>1</v>
      </c>
      <c r="AH35" s="19">
        <v>1</v>
      </c>
      <c r="AI35" s="19">
        <v>1</v>
      </c>
      <c r="AJ35" s="19">
        <v>1</v>
      </c>
      <c r="AK35" s="19">
        <v>1</v>
      </c>
      <c r="AL35" s="19">
        <v>1</v>
      </c>
      <c r="AM35" s="19">
        <v>1</v>
      </c>
      <c r="AN35" s="19">
        <v>1</v>
      </c>
      <c r="AO35" s="19">
        <v>1</v>
      </c>
      <c r="AP35" s="19">
        <v>1</v>
      </c>
      <c r="AQ35" s="19">
        <v>1</v>
      </c>
      <c r="AR35" s="19">
        <v>1</v>
      </c>
      <c r="AS35" s="19">
        <v>1</v>
      </c>
      <c r="AT35" s="19">
        <v>1</v>
      </c>
      <c r="AU35" s="19">
        <v>1</v>
      </c>
      <c r="AV35" s="19">
        <v>1</v>
      </c>
      <c r="AW35" s="19">
        <v>1</v>
      </c>
      <c r="AX35" s="19">
        <v>1</v>
      </c>
      <c r="AY35" s="19">
        <v>1</v>
      </c>
      <c r="AZ35" s="19">
        <v>1</v>
      </c>
      <c r="BA35" s="19">
        <v>1</v>
      </c>
      <c r="BB35" s="19">
        <v>1</v>
      </c>
      <c r="BC35" s="19">
        <v>1</v>
      </c>
      <c r="BD35" s="19">
        <v>1</v>
      </c>
      <c r="BE35" s="19">
        <v>1</v>
      </c>
      <c r="BF35" s="19">
        <v>1</v>
      </c>
      <c r="BG35" s="19">
        <v>1</v>
      </c>
      <c r="BH35" s="19">
        <v>1</v>
      </c>
      <c r="BI35" s="19">
        <v>1</v>
      </c>
    </row>
    <row r="36" spans="1:61" ht="15" customHeight="1">
      <c r="A36" s="521" t="str">
        <f>'VoT czas ładunki'!$A$47</f>
        <v xml:space="preserve">(s) W roku 2018 uwzględniono wartość wskaźnika skumulowaną od 2011. </v>
      </c>
    </row>
    <row r="37" spans="1:61" s="592" customFormat="1" ht="15" customHeight="1"/>
    <row r="38" spans="1:61" ht="15" customHeight="1"/>
    <row r="39" spans="1:61">
      <c r="A39" s="759" t="s">
        <v>907</v>
      </c>
      <c r="B39" s="759"/>
      <c r="C39" s="759"/>
      <c r="D39" s="759"/>
      <c r="E39" s="759"/>
      <c r="F39" s="759"/>
      <c r="G39" s="759"/>
      <c r="H39" s="759"/>
      <c r="I39" s="759"/>
      <c r="J39" s="759"/>
      <c r="K39" s="759"/>
      <c r="L39" s="759"/>
      <c r="M39" s="759"/>
      <c r="N39" s="759"/>
      <c r="O39" s="759"/>
      <c r="P39" s="759"/>
      <c r="Q39" s="759"/>
      <c r="R39" s="759"/>
      <c r="S39" s="759"/>
      <c r="T39" s="759"/>
      <c r="U39" s="759"/>
      <c r="V39" s="759"/>
    </row>
    <row r="40" spans="1:61" s="592" customFormat="1">
      <c r="A40" s="759"/>
      <c r="B40" s="759"/>
      <c r="C40" s="759"/>
      <c r="D40" s="759"/>
      <c r="E40" s="759"/>
      <c r="F40" s="759"/>
      <c r="G40" s="759"/>
      <c r="H40" s="759"/>
      <c r="I40" s="759"/>
      <c r="J40" s="759"/>
      <c r="K40" s="759"/>
      <c r="L40" s="759"/>
      <c r="M40" s="759"/>
      <c r="N40" s="759"/>
      <c r="O40" s="759"/>
      <c r="P40" s="759"/>
      <c r="Q40" s="759"/>
      <c r="R40" s="759"/>
      <c r="S40" s="759"/>
      <c r="T40" s="759"/>
      <c r="U40" s="759"/>
      <c r="V40" s="759"/>
    </row>
    <row r="41" spans="1:61">
      <c r="A41" s="521" t="s">
        <v>558</v>
      </c>
    </row>
    <row r="42" spans="1:61">
      <c r="A42" s="757"/>
      <c r="B42" s="663" t="s">
        <v>309</v>
      </c>
      <c r="C42" s="649"/>
      <c r="D42" s="649"/>
      <c r="E42" s="649"/>
      <c r="F42" s="649"/>
      <c r="G42" s="649"/>
      <c r="H42" s="649"/>
      <c r="I42" s="649"/>
      <c r="J42" s="649"/>
      <c r="K42" s="649"/>
      <c r="L42" s="649"/>
      <c r="M42" s="649"/>
      <c r="N42" s="649"/>
      <c r="O42" s="649"/>
      <c r="P42" s="652"/>
      <c r="Q42" s="6"/>
      <c r="R42" s="6"/>
      <c r="S42" s="6"/>
      <c r="T42" s="6">
        <v>2020</v>
      </c>
      <c r="U42" s="6">
        <f>T42+1</f>
        <v>2021</v>
      </c>
      <c r="V42" s="6">
        <f t="shared" ref="V42:AK42" si="1">U42+1</f>
        <v>2022</v>
      </c>
      <c r="W42" s="6">
        <f t="shared" si="1"/>
        <v>2023</v>
      </c>
      <c r="X42" s="6">
        <f t="shared" si="1"/>
        <v>2024</v>
      </c>
      <c r="Y42" s="6">
        <f t="shared" si="1"/>
        <v>2025</v>
      </c>
      <c r="Z42" s="6">
        <f t="shared" si="1"/>
        <v>2026</v>
      </c>
      <c r="AA42" s="6">
        <f t="shared" si="1"/>
        <v>2027</v>
      </c>
      <c r="AB42" s="6">
        <f t="shared" si="1"/>
        <v>2028</v>
      </c>
      <c r="AC42" s="6">
        <f t="shared" si="1"/>
        <v>2029</v>
      </c>
      <c r="AD42" s="6">
        <f t="shared" si="1"/>
        <v>2030</v>
      </c>
      <c r="AE42" s="6">
        <f t="shared" si="1"/>
        <v>2031</v>
      </c>
      <c r="AF42" s="6">
        <f t="shared" si="1"/>
        <v>2032</v>
      </c>
      <c r="AG42" s="6">
        <f t="shared" si="1"/>
        <v>2033</v>
      </c>
      <c r="AH42" s="6">
        <f t="shared" si="1"/>
        <v>2034</v>
      </c>
      <c r="AI42" s="6">
        <f t="shared" si="1"/>
        <v>2035</v>
      </c>
      <c r="AJ42" s="6">
        <f t="shared" si="1"/>
        <v>2036</v>
      </c>
      <c r="AK42" s="6">
        <f t="shared" si="1"/>
        <v>2037</v>
      </c>
      <c r="AL42" s="6">
        <f t="shared" ref="AL42:BA42" si="2">AK42+1</f>
        <v>2038</v>
      </c>
      <c r="AM42" s="6">
        <f t="shared" si="2"/>
        <v>2039</v>
      </c>
      <c r="AN42" s="6">
        <f t="shared" si="2"/>
        <v>2040</v>
      </c>
      <c r="AO42" s="6">
        <f t="shared" si="2"/>
        <v>2041</v>
      </c>
      <c r="AP42" s="6">
        <f t="shared" si="2"/>
        <v>2042</v>
      </c>
      <c r="AQ42" s="6">
        <f t="shared" si="2"/>
        <v>2043</v>
      </c>
      <c r="AR42" s="6">
        <f t="shared" si="2"/>
        <v>2044</v>
      </c>
      <c r="AS42" s="6">
        <f t="shared" si="2"/>
        <v>2045</v>
      </c>
      <c r="AT42" s="6">
        <f t="shared" si="2"/>
        <v>2046</v>
      </c>
      <c r="AU42" s="6">
        <f t="shared" si="2"/>
        <v>2047</v>
      </c>
      <c r="AV42" s="6">
        <f t="shared" si="2"/>
        <v>2048</v>
      </c>
      <c r="AW42" s="6">
        <f t="shared" si="2"/>
        <v>2049</v>
      </c>
      <c r="AX42" s="6">
        <f t="shared" si="2"/>
        <v>2050</v>
      </c>
      <c r="AY42" s="6">
        <f t="shared" si="2"/>
        <v>2051</v>
      </c>
      <c r="AZ42" s="6">
        <f t="shared" si="2"/>
        <v>2052</v>
      </c>
      <c r="BA42" s="6">
        <f t="shared" si="2"/>
        <v>2053</v>
      </c>
      <c r="BB42" s="6">
        <f t="shared" ref="BB42:BI42" si="3">BA42+1</f>
        <v>2054</v>
      </c>
      <c r="BC42" s="6">
        <f t="shared" si="3"/>
        <v>2055</v>
      </c>
      <c r="BD42" s="6">
        <f t="shared" si="3"/>
        <v>2056</v>
      </c>
      <c r="BE42" s="6">
        <f t="shared" si="3"/>
        <v>2057</v>
      </c>
      <c r="BF42" s="6">
        <f t="shared" si="3"/>
        <v>2058</v>
      </c>
      <c r="BG42" s="6">
        <f t="shared" si="3"/>
        <v>2059</v>
      </c>
      <c r="BH42" s="6">
        <f t="shared" si="3"/>
        <v>2060</v>
      </c>
      <c r="BI42" s="6">
        <f t="shared" si="3"/>
        <v>2061</v>
      </c>
    </row>
    <row r="43" spans="1:61">
      <c r="A43" s="758"/>
      <c r="B43" s="664" t="s">
        <v>510</v>
      </c>
      <c r="C43" s="659"/>
      <c r="D43" s="659"/>
      <c r="E43" s="659"/>
      <c r="F43" s="659"/>
      <c r="G43" s="659"/>
      <c r="H43" s="659"/>
      <c r="I43" s="659"/>
      <c r="J43" s="659"/>
      <c r="K43" s="659"/>
      <c r="L43" s="659"/>
      <c r="M43" s="659"/>
      <c r="N43" s="659"/>
      <c r="O43" s="659"/>
      <c r="P43" s="665"/>
      <c r="Q43" s="661">
        <f>DATE(2016,12,31)</f>
        <v>42735</v>
      </c>
      <c r="R43" s="661">
        <f>DATE(YEAR(Q43+1),12,31)</f>
        <v>43100</v>
      </c>
      <c r="S43" s="661">
        <f t="shared" ref="S43" si="4">DATE(YEAR(R43+1),12,31)</f>
        <v>43465</v>
      </c>
      <c r="T43" s="661">
        <f>DATE(YEAR(S43+1),12,31)</f>
        <v>43830</v>
      </c>
      <c r="U43" s="661">
        <f t="shared" ref="U43:BI43" si="5">DATE(YEAR(T43+1),12,31)</f>
        <v>44196</v>
      </c>
      <c r="V43" s="661">
        <f t="shared" si="5"/>
        <v>44561</v>
      </c>
      <c r="W43" s="661">
        <f t="shared" si="5"/>
        <v>44926</v>
      </c>
      <c r="X43" s="661">
        <f t="shared" si="5"/>
        <v>45291</v>
      </c>
      <c r="Y43" s="661">
        <f t="shared" si="5"/>
        <v>45657</v>
      </c>
      <c r="Z43" s="661">
        <f t="shared" si="5"/>
        <v>46022</v>
      </c>
      <c r="AA43" s="661">
        <f t="shared" si="5"/>
        <v>46387</v>
      </c>
      <c r="AB43" s="661">
        <f t="shared" si="5"/>
        <v>46752</v>
      </c>
      <c r="AC43" s="661">
        <f t="shared" si="5"/>
        <v>47118</v>
      </c>
      <c r="AD43" s="661">
        <f t="shared" si="5"/>
        <v>47483</v>
      </c>
      <c r="AE43" s="661">
        <f t="shared" si="5"/>
        <v>47848</v>
      </c>
      <c r="AF43" s="661">
        <f t="shared" si="5"/>
        <v>48213</v>
      </c>
      <c r="AG43" s="661">
        <f t="shared" si="5"/>
        <v>48579</v>
      </c>
      <c r="AH43" s="661">
        <f t="shared" si="5"/>
        <v>48944</v>
      </c>
      <c r="AI43" s="661">
        <f t="shared" si="5"/>
        <v>49309</v>
      </c>
      <c r="AJ43" s="661">
        <f t="shared" si="5"/>
        <v>49674</v>
      </c>
      <c r="AK43" s="661">
        <f t="shared" si="5"/>
        <v>50040</v>
      </c>
      <c r="AL43" s="661">
        <f t="shared" si="5"/>
        <v>50405</v>
      </c>
      <c r="AM43" s="661">
        <f t="shared" si="5"/>
        <v>50770</v>
      </c>
      <c r="AN43" s="661">
        <f t="shared" si="5"/>
        <v>51135</v>
      </c>
      <c r="AO43" s="661">
        <f t="shared" si="5"/>
        <v>51501</v>
      </c>
      <c r="AP43" s="661">
        <f t="shared" si="5"/>
        <v>51866</v>
      </c>
      <c r="AQ43" s="661">
        <f t="shared" si="5"/>
        <v>52231</v>
      </c>
      <c r="AR43" s="661">
        <f t="shared" si="5"/>
        <v>52596</v>
      </c>
      <c r="AS43" s="661">
        <f t="shared" si="5"/>
        <v>52962</v>
      </c>
      <c r="AT43" s="661">
        <f t="shared" si="5"/>
        <v>53327</v>
      </c>
      <c r="AU43" s="661">
        <f t="shared" si="5"/>
        <v>53692</v>
      </c>
      <c r="AV43" s="661">
        <f t="shared" si="5"/>
        <v>54057</v>
      </c>
      <c r="AW43" s="661">
        <f t="shared" si="5"/>
        <v>54423</v>
      </c>
      <c r="AX43" s="661">
        <f t="shared" si="5"/>
        <v>54788</v>
      </c>
      <c r="AY43" s="661">
        <f t="shared" si="5"/>
        <v>55153</v>
      </c>
      <c r="AZ43" s="661">
        <f t="shared" si="5"/>
        <v>55518</v>
      </c>
      <c r="BA43" s="661">
        <f t="shared" si="5"/>
        <v>55884</v>
      </c>
      <c r="BB43" s="661">
        <f t="shared" si="5"/>
        <v>56249</v>
      </c>
      <c r="BC43" s="661">
        <f t="shared" si="5"/>
        <v>56614</v>
      </c>
      <c r="BD43" s="661">
        <f t="shared" si="5"/>
        <v>56979</v>
      </c>
      <c r="BE43" s="661">
        <f t="shared" si="5"/>
        <v>57345</v>
      </c>
      <c r="BF43" s="661">
        <f t="shared" si="5"/>
        <v>57710</v>
      </c>
      <c r="BG43" s="661">
        <f t="shared" si="5"/>
        <v>58075</v>
      </c>
      <c r="BH43" s="661">
        <f t="shared" si="5"/>
        <v>58440</v>
      </c>
      <c r="BI43" s="661">
        <f t="shared" si="5"/>
        <v>58806</v>
      </c>
    </row>
    <row r="44" spans="1:61" ht="30">
      <c r="A44" s="8" t="s">
        <v>346</v>
      </c>
      <c r="B44" s="110" t="s">
        <v>31</v>
      </c>
      <c r="C44" s="13"/>
      <c r="D44" s="13"/>
      <c r="E44" s="13"/>
      <c r="F44" s="13"/>
      <c r="G44" s="13"/>
      <c r="H44" s="13"/>
      <c r="I44" s="13"/>
      <c r="J44" s="13"/>
      <c r="K44" s="13"/>
      <c r="L44" s="13"/>
      <c r="M44" s="13"/>
      <c r="N44" s="13"/>
      <c r="O44" s="13"/>
      <c r="P44" s="13"/>
      <c r="Q44" s="78"/>
      <c r="R44" s="78"/>
      <c r="S44" s="185">
        <f>$P$17*$Q$23*$Q$27/100*$S$35</f>
        <v>8.6642605317267218</v>
      </c>
      <c r="T44" s="188">
        <f>S44*T$35</f>
        <v>8.8635385239564357</v>
      </c>
      <c r="U44" s="10">
        <f>T44*U$35</f>
        <v>9.1648988337709554</v>
      </c>
      <c r="V44" s="10">
        <f t="shared" ref="V44:BI49" si="6">U44*V$35</f>
        <v>9.6323086742932738</v>
      </c>
      <c r="W44" s="10">
        <f t="shared" si="6"/>
        <v>11.019361123391507</v>
      </c>
      <c r="X44" s="10">
        <f t="shared" si="6"/>
        <v>12.275568291458139</v>
      </c>
      <c r="Y44" s="10">
        <f t="shared" si="6"/>
        <v>12.275568291458139</v>
      </c>
      <c r="Z44" s="10">
        <f t="shared" si="6"/>
        <v>12.275568291458139</v>
      </c>
      <c r="AA44" s="10">
        <f t="shared" si="6"/>
        <v>12.275568291458139</v>
      </c>
      <c r="AB44" s="10">
        <f t="shared" si="6"/>
        <v>12.275568291458139</v>
      </c>
      <c r="AC44" s="10">
        <f t="shared" si="6"/>
        <v>12.275568291458139</v>
      </c>
      <c r="AD44" s="10">
        <f t="shared" si="6"/>
        <v>12.275568291458139</v>
      </c>
      <c r="AE44" s="10">
        <f t="shared" si="6"/>
        <v>12.275568291458139</v>
      </c>
      <c r="AF44" s="10">
        <f t="shared" si="6"/>
        <v>12.275568291458139</v>
      </c>
      <c r="AG44" s="10">
        <f t="shared" si="6"/>
        <v>12.275568291458139</v>
      </c>
      <c r="AH44" s="10">
        <f t="shared" si="6"/>
        <v>12.275568291458139</v>
      </c>
      <c r="AI44" s="10">
        <f t="shared" si="6"/>
        <v>12.275568291458139</v>
      </c>
      <c r="AJ44" s="10">
        <f t="shared" si="6"/>
        <v>12.275568291458139</v>
      </c>
      <c r="AK44" s="10">
        <f t="shared" si="6"/>
        <v>12.275568291458139</v>
      </c>
      <c r="AL44" s="10">
        <f t="shared" si="6"/>
        <v>12.275568291458139</v>
      </c>
      <c r="AM44" s="10">
        <f t="shared" si="6"/>
        <v>12.275568291458139</v>
      </c>
      <c r="AN44" s="10">
        <f t="shared" si="6"/>
        <v>12.275568291458139</v>
      </c>
      <c r="AO44" s="10">
        <f t="shared" si="6"/>
        <v>12.275568291458139</v>
      </c>
      <c r="AP44" s="10">
        <f t="shared" si="6"/>
        <v>12.275568291458139</v>
      </c>
      <c r="AQ44" s="10">
        <f t="shared" si="6"/>
        <v>12.275568291458139</v>
      </c>
      <c r="AR44" s="10">
        <f t="shared" si="6"/>
        <v>12.275568291458139</v>
      </c>
      <c r="AS44" s="10">
        <f t="shared" si="6"/>
        <v>12.275568291458139</v>
      </c>
      <c r="AT44" s="10">
        <f t="shared" si="6"/>
        <v>12.275568291458139</v>
      </c>
      <c r="AU44" s="10">
        <f t="shared" si="6"/>
        <v>12.275568291458139</v>
      </c>
      <c r="AV44" s="10">
        <f t="shared" si="6"/>
        <v>12.275568291458139</v>
      </c>
      <c r="AW44" s="10">
        <f t="shared" si="6"/>
        <v>12.275568291458139</v>
      </c>
      <c r="AX44" s="10">
        <f t="shared" si="6"/>
        <v>12.275568291458139</v>
      </c>
      <c r="AY44" s="10">
        <f t="shared" si="6"/>
        <v>12.275568291458139</v>
      </c>
      <c r="AZ44" s="10">
        <f t="shared" si="6"/>
        <v>12.275568291458139</v>
      </c>
      <c r="BA44" s="10">
        <f t="shared" si="6"/>
        <v>12.275568291458139</v>
      </c>
      <c r="BB44" s="10">
        <f t="shared" si="6"/>
        <v>12.275568291458139</v>
      </c>
      <c r="BC44" s="10">
        <f t="shared" si="6"/>
        <v>12.275568291458139</v>
      </c>
      <c r="BD44" s="10">
        <f t="shared" si="6"/>
        <v>12.275568291458139</v>
      </c>
      <c r="BE44" s="10">
        <f t="shared" si="6"/>
        <v>12.275568291458139</v>
      </c>
      <c r="BF44" s="10">
        <f t="shared" si="6"/>
        <v>12.275568291458139</v>
      </c>
      <c r="BG44" s="10">
        <f t="shared" si="6"/>
        <v>12.275568291458139</v>
      </c>
      <c r="BH44" s="10">
        <f t="shared" si="6"/>
        <v>12.275568291458139</v>
      </c>
      <c r="BI44" s="10">
        <f t="shared" si="6"/>
        <v>12.275568291458139</v>
      </c>
    </row>
    <row r="45" spans="1:61" ht="30">
      <c r="A45" s="8" t="s">
        <v>347</v>
      </c>
      <c r="B45" s="110" t="s">
        <v>31</v>
      </c>
      <c r="C45" s="13"/>
      <c r="D45" s="13"/>
      <c r="E45" s="13"/>
      <c r="F45" s="13"/>
      <c r="G45" s="13"/>
      <c r="H45" s="13"/>
      <c r="I45" s="13"/>
      <c r="J45" s="13"/>
      <c r="K45" s="13"/>
      <c r="L45" s="13"/>
      <c r="M45" s="13"/>
      <c r="N45" s="13"/>
      <c r="O45" s="13"/>
      <c r="P45" s="13"/>
      <c r="Q45" s="78"/>
      <c r="R45" s="78"/>
      <c r="S45" s="185">
        <f>$R$17*$Q$23*$Q$27/100*$S$35</f>
        <v>11.941128296931058</v>
      </c>
      <c r="T45" s="188">
        <f t="shared" ref="T45:AJ49" si="7">S45*T$35</f>
        <v>12.215774247760471</v>
      </c>
      <c r="U45" s="10">
        <f t="shared" si="7"/>
        <v>12.631110572184328</v>
      </c>
      <c r="V45" s="10">
        <f t="shared" si="7"/>
        <v>13.275297211365729</v>
      </c>
      <c r="W45" s="10">
        <f t="shared" si="7"/>
        <v>15.186940009802395</v>
      </c>
      <c r="X45" s="10">
        <f t="shared" si="7"/>
        <v>16.91825117091987</v>
      </c>
      <c r="Y45" s="10">
        <f t="shared" si="7"/>
        <v>16.91825117091987</v>
      </c>
      <c r="Z45" s="10">
        <f t="shared" si="7"/>
        <v>16.91825117091987</v>
      </c>
      <c r="AA45" s="10">
        <f t="shared" si="7"/>
        <v>16.91825117091987</v>
      </c>
      <c r="AB45" s="10">
        <f t="shared" si="7"/>
        <v>16.91825117091987</v>
      </c>
      <c r="AC45" s="10">
        <f t="shared" si="7"/>
        <v>16.91825117091987</v>
      </c>
      <c r="AD45" s="10">
        <f t="shared" si="7"/>
        <v>16.91825117091987</v>
      </c>
      <c r="AE45" s="10">
        <f t="shared" si="7"/>
        <v>16.91825117091987</v>
      </c>
      <c r="AF45" s="10">
        <f t="shared" si="7"/>
        <v>16.91825117091987</v>
      </c>
      <c r="AG45" s="10">
        <f t="shared" si="7"/>
        <v>16.91825117091987</v>
      </c>
      <c r="AH45" s="10">
        <f t="shared" si="7"/>
        <v>16.91825117091987</v>
      </c>
      <c r="AI45" s="10">
        <f t="shared" si="7"/>
        <v>16.91825117091987</v>
      </c>
      <c r="AJ45" s="10">
        <f t="shared" si="7"/>
        <v>16.91825117091987</v>
      </c>
      <c r="AK45" s="10">
        <f t="shared" si="6"/>
        <v>16.91825117091987</v>
      </c>
      <c r="AL45" s="10">
        <f t="shared" si="6"/>
        <v>16.91825117091987</v>
      </c>
      <c r="AM45" s="10">
        <f t="shared" si="6"/>
        <v>16.91825117091987</v>
      </c>
      <c r="AN45" s="10">
        <f t="shared" si="6"/>
        <v>16.91825117091987</v>
      </c>
      <c r="AO45" s="10">
        <f t="shared" si="6"/>
        <v>16.91825117091987</v>
      </c>
      <c r="AP45" s="10">
        <f t="shared" si="6"/>
        <v>16.91825117091987</v>
      </c>
      <c r="AQ45" s="10">
        <f t="shared" si="6"/>
        <v>16.91825117091987</v>
      </c>
      <c r="AR45" s="10">
        <f t="shared" si="6"/>
        <v>16.91825117091987</v>
      </c>
      <c r="AS45" s="10">
        <f t="shared" si="6"/>
        <v>16.91825117091987</v>
      </c>
      <c r="AT45" s="10">
        <f t="shared" si="6"/>
        <v>16.91825117091987</v>
      </c>
      <c r="AU45" s="10">
        <f t="shared" si="6"/>
        <v>16.91825117091987</v>
      </c>
      <c r="AV45" s="10">
        <f t="shared" si="6"/>
        <v>16.91825117091987</v>
      </c>
      <c r="AW45" s="10">
        <f t="shared" si="6"/>
        <v>16.91825117091987</v>
      </c>
      <c r="AX45" s="10">
        <f t="shared" si="6"/>
        <v>16.91825117091987</v>
      </c>
      <c r="AY45" s="10">
        <f t="shared" si="6"/>
        <v>16.91825117091987</v>
      </c>
      <c r="AZ45" s="10">
        <f t="shared" si="6"/>
        <v>16.91825117091987</v>
      </c>
      <c r="BA45" s="10">
        <f t="shared" si="6"/>
        <v>16.91825117091987</v>
      </c>
      <c r="BB45" s="10">
        <f t="shared" si="6"/>
        <v>16.91825117091987</v>
      </c>
      <c r="BC45" s="10">
        <f t="shared" si="6"/>
        <v>16.91825117091987</v>
      </c>
      <c r="BD45" s="10">
        <f t="shared" si="6"/>
        <v>16.91825117091987</v>
      </c>
      <c r="BE45" s="10">
        <f t="shared" si="6"/>
        <v>16.91825117091987</v>
      </c>
      <c r="BF45" s="10">
        <f t="shared" si="6"/>
        <v>16.91825117091987</v>
      </c>
      <c r="BG45" s="10">
        <f t="shared" si="6"/>
        <v>16.91825117091987</v>
      </c>
      <c r="BH45" s="10">
        <f t="shared" si="6"/>
        <v>16.91825117091987</v>
      </c>
      <c r="BI45" s="10">
        <f t="shared" si="6"/>
        <v>16.91825117091987</v>
      </c>
    </row>
    <row r="46" spans="1:61" ht="30">
      <c r="A46" s="8" t="s">
        <v>348</v>
      </c>
      <c r="B46" s="110" t="s">
        <v>31</v>
      </c>
      <c r="C46" s="13"/>
      <c r="D46" s="13"/>
      <c r="E46" s="13"/>
      <c r="F46" s="13"/>
      <c r="G46" s="13"/>
      <c r="H46" s="13"/>
      <c r="I46" s="13"/>
      <c r="J46" s="13"/>
      <c r="K46" s="13"/>
      <c r="L46" s="13"/>
      <c r="M46" s="13"/>
      <c r="N46" s="13"/>
      <c r="O46" s="13"/>
      <c r="P46" s="13"/>
      <c r="Q46" s="78"/>
      <c r="R46" s="78"/>
      <c r="S46" s="185">
        <f>$T$17*$Q$23*$Q$27/100*$S$35</f>
        <v>8.6642605317267218</v>
      </c>
      <c r="T46" s="188">
        <f t="shared" si="7"/>
        <v>8.8635385239564357</v>
      </c>
      <c r="U46" s="10">
        <f t="shared" si="7"/>
        <v>9.1648988337709554</v>
      </c>
      <c r="V46" s="10">
        <f t="shared" si="6"/>
        <v>9.6323086742932738</v>
      </c>
      <c r="W46" s="10">
        <f t="shared" si="6"/>
        <v>11.019361123391507</v>
      </c>
      <c r="X46" s="10">
        <f t="shared" si="6"/>
        <v>12.275568291458139</v>
      </c>
      <c r="Y46" s="10">
        <f t="shared" si="6"/>
        <v>12.275568291458139</v>
      </c>
      <c r="Z46" s="10">
        <f t="shared" si="6"/>
        <v>12.275568291458139</v>
      </c>
      <c r="AA46" s="10">
        <f t="shared" si="6"/>
        <v>12.275568291458139</v>
      </c>
      <c r="AB46" s="10">
        <f t="shared" si="6"/>
        <v>12.275568291458139</v>
      </c>
      <c r="AC46" s="10">
        <f t="shared" si="6"/>
        <v>12.275568291458139</v>
      </c>
      <c r="AD46" s="10">
        <f t="shared" si="6"/>
        <v>12.275568291458139</v>
      </c>
      <c r="AE46" s="10">
        <f t="shared" si="6"/>
        <v>12.275568291458139</v>
      </c>
      <c r="AF46" s="10">
        <f t="shared" si="6"/>
        <v>12.275568291458139</v>
      </c>
      <c r="AG46" s="10">
        <f t="shared" si="6"/>
        <v>12.275568291458139</v>
      </c>
      <c r="AH46" s="10">
        <f t="shared" si="6"/>
        <v>12.275568291458139</v>
      </c>
      <c r="AI46" s="10">
        <f t="shared" si="6"/>
        <v>12.275568291458139</v>
      </c>
      <c r="AJ46" s="10">
        <f t="shared" si="6"/>
        <v>12.275568291458139</v>
      </c>
      <c r="AK46" s="10">
        <f t="shared" si="6"/>
        <v>12.275568291458139</v>
      </c>
      <c r="AL46" s="10">
        <f t="shared" si="6"/>
        <v>12.275568291458139</v>
      </c>
      <c r="AM46" s="10">
        <f t="shared" si="6"/>
        <v>12.275568291458139</v>
      </c>
      <c r="AN46" s="10">
        <f t="shared" si="6"/>
        <v>12.275568291458139</v>
      </c>
      <c r="AO46" s="10">
        <f t="shared" si="6"/>
        <v>12.275568291458139</v>
      </c>
      <c r="AP46" s="10">
        <f t="shared" si="6"/>
        <v>12.275568291458139</v>
      </c>
      <c r="AQ46" s="10">
        <f t="shared" si="6"/>
        <v>12.275568291458139</v>
      </c>
      <c r="AR46" s="10">
        <f t="shared" si="6"/>
        <v>12.275568291458139</v>
      </c>
      <c r="AS46" s="10">
        <f t="shared" si="6"/>
        <v>12.275568291458139</v>
      </c>
      <c r="AT46" s="10">
        <f t="shared" si="6"/>
        <v>12.275568291458139</v>
      </c>
      <c r="AU46" s="10">
        <f t="shared" si="6"/>
        <v>12.275568291458139</v>
      </c>
      <c r="AV46" s="10">
        <f t="shared" si="6"/>
        <v>12.275568291458139</v>
      </c>
      <c r="AW46" s="10">
        <f t="shared" si="6"/>
        <v>12.275568291458139</v>
      </c>
      <c r="AX46" s="10">
        <f t="shared" si="6"/>
        <v>12.275568291458139</v>
      </c>
      <c r="AY46" s="10">
        <f t="shared" si="6"/>
        <v>12.275568291458139</v>
      </c>
      <c r="AZ46" s="10">
        <f t="shared" si="6"/>
        <v>12.275568291458139</v>
      </c>
      <c r="BA46" s="10">
        <f t="shared" si="6"/>
        <v>12.275568291458139</v>
      </c>
      <c r="BB46" s="10">
        <f t="shared" si="6"/>
        <v>12.275568291458139</v>
      </c>
      <c r="BC46" s="10">
        <f t="shared" si="6"/>
        <v>12.275568291458139</v>
      </c>
      <c r="BD46" s="10">
        <f t="shared" si="6"/>
        <v>12.275568291458139</v>
      </c>
      <c r="BE46" s="10">
        <f t="shared" si="6"/>
        <v>12.275568291458139</v>
      </c>
      <c r="BF46" s="10">
        <f t="shared" si="6"/>
        <v>12.275568291458139</v>
      </c>
      <c r="BG46" s="10">
        <f t="shared" si="6"/>
        <v>12.275568291458139</v>
      </c>
      <c r="BH46" s="10">
        <f t="shared" si="6"/>
        <v>12.275568291458139</v>
      </c>
      <c r="BI46" s="10">
        <f t="shared" si="6"/>
        <v>12.275568291458139</v>
      </c>
    </row>
    <row r="47" spans="1:61" ht="30">
      <c r="A47" s="8" t="s">
        <v>349</v>
      </c>
      <c r="B47" s="110" t="s">
        <v>31</v>
      </c>
      <c r="C47" s="13"/>
      <c r="D47" s="13"/>
      <c r="E47" s="13"/>
      <c r="F47" s="13"/>
      <c r="G47" s="13"/>
      <c r="H47" s="13"/>
      <c r="I47" s="13"/>
      <c r="J47" s="13"/>
      <c r="K47" s="13"/>
      <c r="L47" s="13"/>
      <c r="M47" s="13"/>
      <c r="N47" s="13"/>
      <c r="O47" s="13"/>
      <c r="P47" s="13"/>
      <c r="Q47" s="78"/>
      <c r="R47" s="78"/>
      <c r="S47" s="185">
        <f>$V$17*$Q$23*$Q$27/100*$S$35</f>
        <v>11.941128296931058</v>
      </c>
      <c r="T47" s="188">
        <f t="shared" si="7"/>
        <v>12.215774247760471</v>
      </c>
      <c r="U47" s="10">
        <f t="shared" si="7"/>
        <v>12.631110572184328</v>
      </c>
      <c r="V47" s="10">
        <f t="shared" si="7"/>
        <v>13.275297211365729</v>
      </c>
      <c r="W47" s="10">
        <f t="shared" si="7"/>
        <v>15.186940009802395</v>
      </c>
      <c r="X47" s="10">
        <f t="shared" si="7"/>
        <v>16.91825117091987</v>
      </c>
      <c r="Y47" s="10">
        <f t="shared" si="7"/>
        <v>16.91825117091987</v>
      </c>
      <c r="Z47" s="10">
        <f t="shared" si="7"/>
        <v>16.91825117091987</v>
      </c>
      <c r="AA47" s="10">
        <f t="shared" si="7"/>
        <v>16.91825117091987</v>
      </c>
      <c r="AB47" s="10">
        <f t="shared" si="7"/>
        <v>16.91825117091987</v>
      </c>
      <c r="AC47" s="10">
        <f t="shared" si="7"/>
        <v>16.91825117091987</v>
      </c>
      <c r="AD47" s="10">
        <f t="shared" si="7"/>
        <v>16.91825117091987</v>
      </c>
      <c r="AE47" s="10">
        <f t="shared" si="7"/>
        <v>16.91825117091987</v>
      </c>
      <c r="AF47" s="10">
        <f t="shared" si="7"/>
        <v>16.91825117091987</v>
      </c>
      <c r="AG47" s="10">
        <f t="shared" si="7"/>
        <v>16.91825117091987</v>
      </c>
      <c r="AH47" s="10">
        <f t="shared" si="7"/>
        <v>16.91825117091987</v>
      </c>
      <c r="AI47" s="10">
        <f t="shared" si="7"/>
        <v>16.91825117091987</v>
      </c>
      <c r="AJ47" s="10">
        <f t="shared" si="6"/>
        <v>16.91825117091987</v>
      </c>
      <c r="AK47" s="10">
        <f t="shared" si="6"/>
        <v>16.91825117091987</v>
      </c>
      <c r="AL47" s="10">
        <f t="shared" si="6"/>
        <v>16.91825117091987</v>
      </c>
      <c r="AM47" s="10">
        <f t="shared" si="6"/>
        <v>16.91825117091987</v>
      </c>
      <c r="AN47" s="10">
        <f t="shared" si="6"/>
        <v>16.91825117091987</v>
      </c>
      <c r="AO47" s="10">
        <f t="shared" si="6"/>
        <v>16.91825117091987</v>
      </c>
      <c r="AP47" s="10">
        <f t="shared" si="6"/>
        <v>16.91825117091987</v>
      </c>
      <c r="AQ47" s="10">
        <f t="shared" si="6"/>
        <v>16.91825117091987</v>
      </c>
      <c r="AR47" s="10">
        <f t="shared" si="6"/>
        <v>16.91825117091987</v>
      </c>
      <c r="AS47" s="10">
        <f t="shared" si="6"/>
        <v>16.91825117091987</v>
      </c>
      <c r="AT47" s="10">
        <f t="shared" si="6"/>
        <v>16.91825117091987</v>
      </c>
      <c r="AU47" s="10">
        <f t="shared" si="6"/>
        <v>16.91825117091987</v>
      </c>
      <c r="AV47" s="10">
        <f t="shared" si="6"/>
        <v>16.91825117091987</v>
      </c>
      <c r="AW47" s="10">
        <f t="shared" si="6"/>
        <v>16.91825117091987</v>
      </c>
      <c r="AX47" s="10">
        <f t="shared" si="6"/>
        <v>16.91825117091987</v>
      </c>
      <c r="AY47" s="10">
        <f t="shared" si="6"/>
        <v>16.91825117091987</v>
      </c>
      <c r="AZ47" s="10">
        <f t="shared" si="6"/>
        <v>16.91825117091987</v>
      </c>
      <c r="BA47" s="10">
        <f t="shared" si="6"/>
        <v>16.91825117091987</v>
      </c>
      <c r="BB47" s="10">
        <f t="shared" si="6"/>
        <v>16.91825117091987</v>
      </c>
      <c r="BC47" s="10">
        <f t="shared" si="6"/>
        <v>16.91825117091987</v>
      </c>
      <c r="BD47" s="10">
        <f t="shared" si="6"/>
        <v>16.91825117091987</v>
      </c>
      <c r="BE47" s="10">
        <f t="shared" si="6"/>
        <v>16.91825117091987</v>
      </c>
      <c r="BF47" s="10">
        <f t="shared" si="6"/>
        <v>16.91825117091987</v>
      </c>
      <c r="BG47" s="10">
        <f t="shared" si="6"/>
        <v>16.91825117091987</v>
      </c>
      <c r="BH47" s="10">
        <f t="shared" si="6"/>
        <v>16.91825117091987</v>
      </c>
      <c r="BI47" s="10">
        <f t="shared" si="6"/>
        <v>16.91825117091987</v>
      </c>
    </row>
    <row r="48" spans="1:61" ht="45">
      <c r="A48" s="8" t="s">
        <v>350</v>
      </c>
      <c r="B48" s="110" t="s">
        <v>31</v>
      </c>
      <c r="C48" s="13"/>
      <c r="D48" s="13"/>
      <c r="E48" s="13"/>
      <c r="F48" s="13"/>
      <c r="G48" s="13"/>
      <c r="H48" s="13"/>
      <c r="I48" s="13"/>
      <c r="J48" s="13"/>
      <c r="K48" s="13"/>
      <c r="L48" s="13"/>
      <c r="M48" s="13"/>
      <c r="N48" s="13"/>
      <c r="O48" s="13"/>
      <c r="P48" s="13"/>
      <c r="Q48" s="78"/>
      <c r="R48" s="78"/>
      <c r="S48" s="185">
        <f>$X$17*$Q$23*$Q$27/100*$S$35</f>
        <v>8.6642605317267218</v>
      </c>
      <c r="T48" s="188">
        <f t="shared" si="7"/>
        <v>8.8635385239564357</v>
      </c>
      <c r="U48" s="10">
        <f t="shared" si="7"/>
        <v>9.1648988337709554</v>
      </c>
      <c r="V48" s="10">
        <f t="shared" si="7"/>
        <v>9.6323086742932738</v>
      </c>
      <c r="W48" s="10">
        <f t="shared" si="7"/>
        <v>11.019361123391507</v>
      </c>
      <c r="X48" s="10">
        <f t="shared" si="7"/>
        <v>12.275568291458139</v>
      </c>
      <c r="Y48" s="10">
        <f t="shared" si="7"/>
        <v>12.275568291458139</v>
      </c>
      <c r="Z48" s="10">
        <f t="shared" si="7"/>
        <v>12.275568291458139</v>
      </c>
      <c r="AA48" s="10">
        <f t="shared" si="7"/>
        <v>12.275568291458139</v>
      </c>
      <c r="AB48" s="10">
        <f t="shared" si="7"/>
        <v>12.275568291458139</v>
      </c>
      <c r="AC48" s="10">
        <f t="shared" si="7"/>
        <v>12.275568291458139</v>
      </c>
      <c r="AD48" s="10">
        <f t="shared" si="7"/>
        <v>12.275568291458139</v>
      </c>
      <c r="AE48" s="10">
        <f t="shared" si="7"/>
        <v>12.275568291458139</v>
      </c>
      <c r="AF48" s="10">
        <f t="shared" si="7"/>
        <v>12.275568291458139</v>
      </c>
      <c r="AG48" s="10">
        <f t="shared" si="7"/>
        <v>12.275568291458139</v>
      </c>
      <c r="AH48" s="10">
        <f t="shared" si="7"/>
        <v>12.275568291458139</v>
      </c>
      <c r="AI48" s="10">
        <f t="shared" si="7"/>
        <v>12.275568291458139</v>
      </c>
      <c r="AJ48" s="10">
        <f t="shared" si="6"/>
        <v>12.275568291458139</v>
      </c>
      <c r="AK48" s="10">
        <f t="shared" si="6"/>
        <v>12.275568291458139</v>
      </c>
      <c r="AL48" s="10">
        <f t="shared" si="6"/>
        <v>12.275568291458139</v>
      </c>
      <c r="AM48" s="10">
        <f t="shared" si="6"/>
        <v>12.275568291458139</v>
      </c>
      <c r="AN48" s="10">
        <f t="shared" si="6"/>
        <v>12.275568291458139</v>
      </c>
      <c r="AO48" s="10">
        <f t="shared" si="6"/>
        <v>12.275568291458139</v>
      </c>
      <c r="AP48" s="10">
        <f t="shared" si="6"/>
        <v>12.275568291458139</v>
      </c>
      <c r="AQ48" s="10">
        <f t="shared" si="6"/>
        <v>12.275568291458139</v>
      </c>
      <c r="AR48" s="10">
        <f t="shared" si="6"/>
        <v>12.275568291458139</v>
      </c>
      <c r="AS48" s="10">
        <f t="shared" si="6"/>
        <v>12.275568291458139</v>
      </c>
      <c r="AT48" s="10">
        <f t="shared" si="6"/>
        <v>12.275568291458139</v>
      </c>
      <c r="AU48" s="10">
        <f t="shared" si="6"/>
        <v>12.275568291458139</v>
      </c>
      <c r="AV48" s="10">
        <f t="shared" si="6"/>
        <v>12.275568291458139</v>
      </c>
      <c r="AW48" s="10">
        <f t="shared" si="6"/>
        <v>12.275568291458139</v>
      </c>
      <c r="AX48" s="10">
        <f t="shared" si="6"/>
        <v>12.275568291458139</v>
      </c>
      <c r="AY48" s="10">
        <f t="shared" si="6"/>
        <v>12.275568291458139</v>
      </c>
      <c r="AZ48" s="10">
        <f t="shared" si="6"/>
        <v>12.275568291458139</v>
      </c>
      <c r="BA48" s="10">
        <f t="shared" si="6"/>
        <v>12.275568291458139</v>
      </c>
      <c r="BB48" s="10">
        <f t="shared" si="6"/>
        <v>12.275568291458139</v>
      </c>
      <c r="BC48" s="10">
        <f t="shared" si="6"/>
        <v>12.275568291458139</v>
      </c>
      <c r="BD48" s="10">
        <f t="shared" si="6"/>
        <v>12.275568291458139</v>
      </c>
      <c r="BE48" s="10">
        <f t="shared" si="6"/>
        <v>12.275568291458139</v>
      </c>
      <c r="BF48" s="10">
        <f t="shared" si="6"/>
        <v>12.275568291458139</v>
      </c>
      <c r="BG48" s="10">
        <f t="shared" si="6"/>
        <v>12.275568291458139</v>
      </c>
      <c r="BH48" s="10">
        <f t="shared" si="6"/>
        <v>12.275568291458139</v>
      </c>
      <c r="BI48" s="10">
        <f t="shared" si="6"/>
        <v>12.275568291458139</v>
      </c>
    </row>
    <row r="49" spans="1:61" ht="45">
      <c r="A49" s="8" t="s">
        <v>351</v>
      </c>
      <c r="B49" s="110" t="s">
        <v>31</v>
      </c>
      <c r="C49" s="13"/>
      <c r="D49" s="13"/>
      <c r="E49" s="13"/>
      <c r="F49" s="13"/>
      <c r="G49" s="13"/>
      <c r="H49" s="13"/>
      <c r="I49" s="13"/>
      <c r="J49" s="13"/>
      <c r="K49" s="13"/>
      <c r="L49" s="13"/>
      <c r="M49" s="13"/>
      <c r="N49" s="13"/>
      <c r="O49" s="13"/>
      <c r="P49" s="13"/>
      <c r="Q49" s="78"/>
      <c r="R49" s="78"/>
      <c r="S49" s="185">
        <f>$Z$17*$Q$23*$Q$27/100*$S$35</f>
        <v>11.941128296931058</v>
      </c>
      <c r="T49" s="188">
        <f t="shared" si="7"/>
        <v>12.215774247760471</v>
      </c>
      <c r="U49" s="10">
        <f t="shared" si="7"/>
        <v>12.631110572184328</v>
      </c>
      <c r="V49" s="10">
        <f t="shared" si="7"/>
        <v>13.275297211365729</v>
      </c>
      <c r="W49" s="10">
        <f t="shared" si="7"/>
        <v>15.186940009802395</v>
      </c>
      <c r="X49" s="10">
        <f t="shared" si="7"/>
        <v>16.91825117091987</v>
      </c>
      <c r="Y49" s="10">
        <f t="shared" si="7"/>
        <v>16.91825117091987</v>
      </c>
      <c r="Z49" s="10">
        <f t="shared" si="7"/>
        <v>16.91825117091987</v>
      </c>
      <c r="AA49" s="10">
        <f t="shared" si="7"/>
        <v>16.91825117091987</v>
      </c>
      <c r="AB49" s="10">
        <f t="shared" si="7"/>
        <v>16.91825117091987</v>
      </c>
      <c r="AC49" s="10">
        <f t="shared" si="7"/>
        <v>16.91825117091987</v>
      </c>
      <c r="AD49" s="10">
        <f t="shared" si="7"/>
        <v>16.91825117091987</v>
      </c>
      <c r="AE49" s="10">
        <f t="shared" si="7"/>
        <v>16.91825117091987</v>
      </c>
      <c r="AF49" s="10">
        <f t="shared" si="7"/>
        <v>16.91825117091987</v>
      </c>
      <c r="AG49" s="10">
        <f t="shared" si="7"/>
        <v>16.91825117091987</v>
      </c>
      <c r="AH49" s="10">
        <f t="shared" si="7"/>
        <v>16.91825117091987</v>
      </c>
      <c r="AI49" s="10">
        <f t="shared" si="7"/>
        <v>16.91825117091987</v>
      </c>
      <c r="AJ49" s="10">
        <f t="shared" si="6"/>
        <v>16.91825117091987</v>
      </c>
      <c r="AK49" s="10">
        <f t="shared" si="6"/>
        <v>16.91825117091987</v>
      </c>
      <c r="AL49" s="10">
        <f t="shared" si="6"/>
        <v>16.91825117091987</v>
      </c>
      <c r="AM49" s="10">
        <f t="shared" si="6"/>
        <v>16.91825117091987</v>
      </c>
      <c r="AN49" s="10">
        <f t="shared" si="6"/>
        <v>16.91825117091987</v>
      </c>
      <c r="AO49" s="10">
        <f t="shared" si="6"/>
        <v>16.91825117091987</v>
      </c>
      <c r="AP49" s="10">
        <f t="shared" si="6"/>
        <v>16.91825117091987</v>
      </c>
      <c r="AQ49" s="10">
        <f t="shared" si="6"/>
        <v>16.91825117091987</v>
      </c>
      <c r="AR49" s="10">
        <f t="shared" si="6"/>
        <v>16.91825117091987</v>
      </c>
      <c r="AS49" s="10">
        <f t="shared" si="6"/>
        <v>16.91825117091987</v>
      </c>
      <c r="AT49" s="10">
        <f t="shared" si="6"/>
        <v>16.91825117091987</v>
      </c>
      <c r="AU49" s="10">
        <f t="shared" si="6"/>
        <v>16.91825117091987</v>
      </c>
      <c r="AV49" s="10">
        <f t="shared" si="6"/>
        <v>16.91825117091987</v>
      </c>
      <c r="AW49" s="10">
        <f t="shared" si="6"/>
        <v>16.91825117091987</v>
      </c>
      <c r="AX49" s="10">
        <f t="shared" si="6"/>
        <v>16.91825117091987</v>
      </c>
      <c r="AY49" s="10">
        <f t="shared" si="6"/>
        <v>16.91825117091987</v>
      </c>
      <c r="AZ49" s="10">
        <f t="shared" si="6"/>
        <v>16.91825117091987</v>
      </c>
      <c r="BA49" s="10">
        <f t="shared" si="6"/>
        <v>16.91825117091987</v>
      </c>
      <c r="BB49" s="10">
        <f t="shared" si="6"/>
        <v>16.91825117091987</v>
      </c>
      <c r="BC49" s="10">
        <f t="shared" si="6"/>
        <v>16.91825117091987</v>
      </c>
      <c r="BD49" s="10">
        <f t="shared" si="6"/>
        <v>16.91825117091987</v>
      </c>
      <c r="BE49" s="10">
        <f t="shared" si="6"/>
        <v>16.91825117091987</v>
      </c>
      <c r="BF49" s="10">
        <f t="shared" si="6"/>
        <v>16.91825117091987</v>
      </c>
      <c r="BG49" s="10">
        <f t="shared" si="6"/>
        <v>16.91825117091987</v>
      </c>
      <c r="BH49" s="10">
        <f t="shared" si="6"/>
        <v>16.91825117091987</v>
      </c>
      <c r="BI49" s="10">
        <f t="shared" si="6"/>
        <v>16.91825117091987</v>
      </c>
    </row>
    <row r="50" spans="1:61" ht="15" customHeight="1">
      <c r="A50" s="9" t="s">
        <v>516</v>
      </c>
      <c r="B50" s="6"/>
      <c r="C50" s="6"/>
      <c r="D50" s="6"/>
      <c r="E50" s="6"/>
      <c r="F50" s="6"/>
      <c r="G50" s="6"/>
      <c r="H50" s="6"/>
      <c r="I50" s="6"/>
      <c r="J50" s="6"/>
      <c r="K50" s="6"/>
      <c r="L50" s="6"/>
      <c r="M50" s="6"/>
      <c r="N50" s="6"/>
      <c r="O50" s="6"/>
      <c r="P50" s="6"/>
      <c r="Q50" s="6"/>
      <c r="R50" s="183"/>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row>
    <row r="51" spans="1:61" ht="30">
      <c r="A51" s="8" t="str">
        <f>A44</f>
        <v>Pociąg blokowy (bezpośredni), 
trakcja elektryczna</v>
      </c>
      <c r="B51" s="110" t="s">
        <v>517</v>
      </c>
      <c r="C51" s="13"/>
      <c r="D51" s="13"/>
      <c r="E51" s="13"/>
      <c r="F51" s="13"/>
      <c r="G51" s="13"/>
      <c r="H51" s="13"/>
      <c r="I51" s="13"/>
      <c r="J51" s="13"/>
      <c r="K51" s="13"/>
      <c r="L51" s="13"/>
      <c r="M51" s="13"/>
      <c r="N51" s="13"/>
      <c r="O51" s="13"/>
      <c r="P51" s="13"/>
      <c r="Q51" s="78"/>
      <c r="R51" s="78"/>
      <c r="S51" s="10">
        <f>S44/$P$9</f>
        <v>7.5802804302071061E-3</v>
      </c>
      <c r="T51" s="10">
        <f t="shared" ref="T51:BI51" si="8">T44/$P$9</f>
        <v>7.7546268801018687E-3</v>
      </c>
      <c r="U51" s="10">
        <f t="shared" si="8"/>
        <v>8.0182841940253328E-3</v>
      </c>
      <c r="V51" s="10">
        <f t="shared" si="8"/>
        <v>8.4272166879206245E-3</v>
      </c>
      <c r="W51" s="10">
        <f t="shared" si="8"/>
        <v>9.640735890981196E-3</v>
      </c>
      <c r="X51" s="10">
        <f t="shared" si="8"/>
        <v>1.0739779782553053E-2</v>
      </c>
      <c r="Y51" s="10">
        <f t="shared" si="8"/>
        <v>1.0739779782553053E-2</v>
      </c>
      <c r="Z51" s="10">
        <f t="shared" si="8"/>
        <v>1.0739779782553053E-2</v>
      </c>
      <c r="AA51" s="10">
        <f t="shared" si="8"/>
        <v>1.0739779782553053E-2</v>
      </c>
      <c r="AB51" s="10">
        <f t="shared" si="8"/>
        <v>1.0739779782553053E-2</v>
      </c>
      <c r="AC51" s="10">
        <f t="shared" si="8"/>
        <v>1.0739779782553053E-2</v>
      </c>
      <c r="AD51" s="10">
        <f t="shared" si="8"/>
        <v>1.0739779782553053E-2</v>
      </c>
      <c r="AE51" s="10">
        <f t="shared" si="8"/>
        <v>1.0739779782553053E-2</v>
      </c>
      <c r="AF51" s="10">
        <f t="shared" si="8"/>
        <v>1.0739779782553053E-2</v>
      </c>
      <c r="AG51" s="10">
        <f t="shared" si="8"/>
        <v>1.0739779782553053E-2</v>
      </c>
      <c r="AH51" s="10">
        <f t="shared" si="8"/>
        <v>1.0739779782553053E-2</v>
      </c>
      <c r="AI51" s="10">
        <f t="shared" si="8"/>
        <v>1.0739779782553053E-2</v>
      </c>
      <c r="AJ51" s="10">
        <f t="shared" si="8"/>
        <v>1.0739779782553053E-2</v>
      </c>
      <c r="AK51" s="10">
        <f t="shared" si="8"/>
        <v>1.0739779782553053E-2</v>
      </c>
      <c r="AL51" s="10">
        <f t="shared" si="8"/>
        <v>1.0739779782553053E-2</v>
      </c>
      <c r="AM51" s="10">
        <f t="shared" si="8"/>
        <v>1.0739779782553053E-2</v>
      </c>
      <c r="AN51" s="10">
        <f t="shared" si="8"/>
        <v>1.0739779782553053E-2</v>
      </c>
      <c r="AO51" s="10">
        <f t="shared" si="8"/>
        <v>1.0739779782553053E-2</v>
      </c>
      <c r="AP51" s="10">
        <f t="shared" si="8"/>
        <v>1.0739779782553053E-2</v>
      </c>
      <c r="AQ51" s="10">
        <f t="shared" si="8"/>
        <v>1.0739779782553053E-2</v>
      </c>
      <c r="AR51" s="10">
        <f t="shared" si="8"/>
        <v>1.0739779782553053E-2</v>
      </c>
      <c r="AS51" s="10">
        <f t="shared" si="8"/>
        <v>1.0739779782553053E-2</v>
      </c>
      <c r="AT51" s="10">
        <f t="shared" si="8"/>
        <v>1.0739779782553053E-2</v>
      </c>
      <c r="AU51" s="10">
        <f t="shared" si="8"/>
        <v>1.0739779782553053E-2</v>
      </c>
      <c r="AV51" s="10">
        <f t="shared" si="8"/>
        <v>1.0739779782553053E-2</v>
      </c>
      <c r="AW51" s="10">
        <f t="shared" si="8"/>
        <v>1.0739779782553053E-2</v>
      </c>
      <c r="AX51" s="10">
        <f t="shared" si="8"/>
        <v>1.0739779782553053E-2</v>
      </c>
      <c r="AY51" s="10">
        <f t="shared" si="8"/>
        <v>1.0739779782553053E-2</v>
      </c>
      <c r="AZ51" s="10">
        <f t="shared" si="8"/>
        <v>1.0739779782553053E-2</v>
      </c>
      <c r="BA51" s="10">
        <f t="shared" si="8"/>
        <v>1.0739779782553053E-2</v>
      </c>
      <c r="BB51" s="10">
        <f t="shared" si="8"/>
        <v>1.0739779782553053E-2</v>
      </c>
      <c r="BC51" s="10">
        <f t="shared" si="8"/>
        <v>1.0739779782553053E-2</v>
      </c>
      <c r="BD51" s="10">
        <f t="shared" si="8"/>
        <v>1.0739779782553053E-2</v>
      </c>
      <c r="BE51" s="10">
        <f t="shared" si="8"/>
        <v>1.0739779782553053E-2</v>
      </c>
      <c r="BF51" s="10">
        <f t="shared" si="8"/>
        <v>1.0739779782553053E-2</v>
      </c>
      <c r="BG51" s="10">
        <f t="shared" si="8"/>
        <v>1.0739779782553053E-2</v>
      </c>
      <c r="BH51" s="10">
        <f t="shared" si="8"/>
        <v>1.0739779782553053E-2</v>
      </c>
      <c r="BI51" s="10">
        <f t="shared" si="8"/>
        <v>1.0739779782553053E-2</v>
      </c>
    </row>
    <row r="52" spans="1:61" ht="30">
      <c r="A52" s="8" t="str">
        <f t="shared" ref="A52:A56" si="9">A45</f>
        <v>Pociąg blokowy (bezpośredni), 
trakcja spalinowa</v>
      </c>
      <c r="B52" s="110" t="s">
        <v>517</v>
      </c>
      <c r="C52" s="13"/>
      <c r="D52" s="13"/>
      <c r="E52" s="13"/>
      <c r="F52" s="13"/>
      <c r="G52" s="13"/>
      <c r="H52" s="13"/>
      <c r="I52" s="13"/>
      <c r="J52" s="13"/>
      <c r="K52" s="13"/>
      <c r="L52" s="13"/>
      <c r="M52" s="13"/>
      <c r="N52" s="13"/>
      <c r="O52" s="13"/>
      <c r="P52" s="13"/>
      <c r="Q52" s="78"/>
      <c r="R52" s="78"/>
      <c r="S52" s="10">
        <f>S45/$R$9</f>
        <v>1.0447181362144408E-2</v>
      </c>
      <c r="T52" s="10">
        <f t="shared" ref="T52:BI52" si="10">T45/$R$9</f>
        <v>1.0687466533473728E-2</v>
      </c>
      <c r="U52" s="10">
        <f t="shared" si="10"/>
        <v>1.1050840395611836E-2</v>
      </c>
      <c r="V52" s="10">
        <f t="shared" si="10"/>
        <v>1.1614433255788039E-2</v>
      </c>
      <c r="W52" s="10">
        <f t="shared" si="10"/>
        <v>1.3286911644621518E-2</v>
      </c>
      <c r="X52" s="10">
        <f t="shared" si="10"/>
        <v>1.4801619572108373E-2</v>
      </c>
      <c r="Y52" s="10">
        <f t="shared" si="10"/>
        <v>1.4801619572108373E-2</v>
      </c>
      <c r="Z52" s="10">
        <f t="shared" si="10"/>
        <v>1.4801619572108373E-2</v>
      </c>
      <c r="AA52" s="10">
        <f t="shared" si="10"/>
        <v>1.4801619572108373E-2</v>
      </c>
      <c r="AB52" s="10">
        <f t="shared" si="10"/>
        <v>1.4801619572108373E-2</v>
      </c>
      <c r="AC52" s="10">
        <f t="shared" si="10"/>
        <v>1.4801619572108373E-2</v>
      </c>
      <c r="AD52" s="10">
        <f t="shared" si="10"/>
        <v>1.4801619572108373E-2</v>
      </c>
      <c r="AE52" s="10">
        <f t="shared" si="10"/>
        <v>1.4801619572108373E-2</v>
      </c>
      <c r="AF52" s="10">
        <f t="shared" si="10"/>
        <v>1.4801619572108373E-2</v>
      </c>
      <c r="AG52" s="10">
        <f t="shared" si="10"/>
        <v>1.4801619572108373E-2</v>
      </c>
      <c r="AH52" s="10">
        <f t="shared" si="10"/>
        <v>1.4801619572108373E-2</v>
      </c>
      <c r="AI52" s="10">
        <f t="shared" si="10"/>
        <v>1.4801619572108373E-2</v>
      </c>
      <c r="AJ52" s="10">
        <f t="shared" si="10"/>
        <v>1.4801619572108373E-2</v>
      </c>
      <c r="AK52" s="10">
        <f t="shared" si="10"/>
        <v>1.4801619572108373E-2</v>
      </c>
      <c r="AL52" s="10">
        <f t="shared" si="10"/>
        <v>1.4801619572108373E-2</v>
      </c>
      <c r="AM52" s="10">
        <f t="shared" si="10"/>
        <v>1.4801619572108373E-2</v>
      </c>
      <c r="AN52" s="10">
        <f t="shared" si="10"/>
        <v>1.4801619572108373E-2</v>
      </c>
      <c r="AO52" s="10">
        <f t="shared" si="10"/>
        <v>1.4801619572108373E-2</v>
      </c>
      <c r="AP52" s="10">
        <f t="shared" si="10"/>
        <v>1.4801619572108373E-2</v>
      </c>
      <c r="AQ52" s="10">
        <f t="shared" si="10"/>
        <v>1.4801619572108373E-2</v>
      </c>
      <c r="AR52" s="10">
        <f t="shared" si="10"/>
        <v>1.4801619572108373E-2</v>
      </c>
      <c r="AS52" s="10">
        <f t="shared" si="10"/>
        <v>1.4801619572108373E-2</v>
      </c>
      <c r="AT52" s="10">
        <f t="shared" si="10"/>
        <v>1.4801619572108373E-2</v>
      </c>
      <c r="AU52" s="10">
        <f t="shared" si="10"/>
        <v>1.4801619572108373E-2</v>
      </c>
      <c r="AV52" s="10">
        <f t="shared" si="10"/>
        <v>1.4801619572108373E-2</v>
      </c>
      <c r="AW52" s="10">
        <f t="shared" si="10"/>
        <v>1.4801619572108373E-2</v>
      </c>
      <c r="AX52" s="10">
        <f t="shared" si="10"/>
        <v>1.4801619572108373E-2</v>
      </c>
      <c r="AY52" s="10">
        <f t="shared" si="10"/>
        <v>1.4801619572108373E-2</v>
      </c>
      <c r="AZ52" s="10">
        <f t="shared" si="10"/>
        <v>1.4801619572108373E-2</v>
      </c>
      <c r="BA52" s="10">
        <f t="shared" si="10"/>
        <v>1.4801619572108373E-2</v>
      </c>
      <c r="BB52" s="10">
        <f t="shared" si="10"/>
        <v>1.4801619572108373E-2</v>
      </c>
      <c r="BC52" s="10">
        <f t="shared" si="10"/>
        <v>1.4801619572108373E-2</v>
      </c>
      <c r="BD52" s="10">
        <f t="shared" si="10"/>
        <v>1.4801619572108373E-2</v>
      </c>
      <c r="BE52" s="10">
        <f t="shared" si="10"/>
        <v>1.4801619572108373E-2</v>
      </c>
      <c r="BF52" s="10">
        <f t="shared" si="10"/>
        <v>1.4801619572108373E-2</v>
      </c>
      <c r="BG52" s="10">
        <f t="shared" si="10"/>
        <v>1.4801619572108373E-2</v>
      </c>
      <c r="BH52" s="10">
        <f t="shared" si="10"/>
        <v>1.4801619572108373E-2</v>
      </c>
      <c r="BI52" s="10">
        <f t="shared" si="10"/>
        <v>1.4801619572108373E-2</v>
      </c>
    </row>
    <row r="53" spans="1:61" ht="30">
      <c r="A53" s="8" t="str">
        <f t="shared" si="9"/>
        <v>Pociąg grupowy, 
trakcja elektryczna</v>
      </c>
      <c r="B53" s="110" t="s">
        <v>517</v>
      </c>
      <c r="C53" s="13"/>
      <c r="D53" s="13"/>
      <c r="E53" s="13"/>
      <c r="F53" s="13"/>
      <c r="G53" s="13"/>
      <c r="H53" s="13"/>
      <c r="I53" s="13"/>
      <c r="J53" s="13"/>
      <c r="K53" s="13"/>
      <c r="L53" s="13"/>
      <c r="M53" s="13"/>
      <c r="N53" s="13"/>
      <c r="O53" s="13"/>
      <c r="P53" s="13"/>
      <c r="Q53" s="78"/>
      <c r="R53" s="78"/>
      <c r="S53" s="10">
        <f>S46/$T$9</f>
        <v>7.5802804302071061E-3</v>
      </c>
      <c r="T53" s="10">
        <f t="shared" ref="T53:BI53" si="11">T46/$T$9</f>
        <v>7.7546268801018687E-3</v>
      </c>
      <c r="U53" s="10">
        <f t="shared" si="11"/>
        <v>8.0182841940253328E-3</v>
      </c>
      <c r="V53" s="10">
        <f t="shared" si="11"/>
        <v>8.4272166879206245E-3</v>
      </c>
      <c r="W53" s="10">
        <f t="shared" si="11"/>
        <v>9.640735890981196E-3</v>
      </c>
      <c r="X53" s="10">
        <f t="shared" si="11"/>
        <v>1.0739779782553053E-2</v>
      </c>
      <c r="Y53" s="10">
        <f t="shared" si="11"/>
        <v>1.0739779782553053E-2</v>
      </c>
      <c r="Z53" s="10">
        <f t="shared" si="11"/>
        <v>1.0739779782553053E-2</v>
      </c>
      <c r="AA53" s="10">
        <f t="shared" si="11"/>
        <v>1.0739779782553053E-2</v>
      </c>
      <c r="AB53" s="10">
        <f t="shared" si="11"/>
        <v>1.0739779782553053E-2</v>
      </c>
      <c r="AC53" s="10">
        <f t="shared" si="11"/>
        <v>1.0739779782553053E-2</v>
      </c>
      <c r="AD53" s="10">
        <f t="shared" si="11"/>
        <v>1.0739779782553053E-2</v>
      </c>
      <c r="AE53" s="10">
        <f t="shared" si="11"/>
        <v>1.0739779782553053E-2</v>
      </c>
      <c r="AF53" s="10">
        <f t="shared" si="11"/>
        <v>1.0739779782553053E-2</v>
      </c>
      <c r="AG53" s="10">
        <f t="shared" si="11"/>
        <v>1.0739779782553053E-2</v>
      </c>
      <c r="AH53" s="10">
        <f t="shared" si="11"/>
        <v>1.0739779782553053E-2</v>
      </c>
      <c r="AI53" s="10">
        <f t="shared" si="11"/>
        <v>1.0739779782553053E-2</v>
      </c>
      <c r="AJ53" s="10">
        <f t="shared" si="11"/>
        <v>1.0739779782553053E-2</v>
      </c>
      <c r="AK53" s="10">
        <f t="shared" si="11"/>
        <v>1.0739779782553053E-2</v>
      </c>
      <c r="AL53" s="10">
        <f t="shared" si="11"/>
        <v>1.0739779782553053E-2</v>
      </c>
      <c r="AM53" s="10">
        <f t="shared" si="11"/>
        <v>1.0739779782553053E-2</v>
      </c>
      <c r="AN53" s="10">
        <f t="shared" si="11"/>
        <v>1.0739779782553053E-2</v>
      </c>
      <c r="AO53" s="10">
        <f t="shared" si="11"/>
        <v>1.0739779782553053E-2</v>
      </c>
      <c r="AP53" s="10">
        <f t="shared" si="11"/>
        <v>1.0739779782553053E-2</v>
      </c>
      <c r="AQ53" s="10">
        <f t="shared" si="11"/>
        <v>1.0739779782553053E-2</v>
      </c>
      <c r="AR53" s="10">
        <f t="shared" si="11"/>
        <v>1.0739779782553053E-2</v>
      </c>
      <c r="AS53" s="10">
        <f t="shared" si="11"/>
        <v>1.0739779782553053E-2</v>
      </c>
      <c r="AT53" s="10">
        <f t="shared" si="11"/>
        <v>1.0739779782553053E-2</v>
      </c>
      <c r="AU53" s="10">
        <f t="shared" si="11"/>
        <v>1.0739779782553053E-2</v>
      </c>
      <c r="AV53" s="10">
        <f t="shared" si="11"/>
        <v>1.0739779782553053E-2</v>
      </c>
      <c r="AW53" s="10">
        <f t="shared" si="11"/>
        <v>1.0739779782553053E-2</v>
      </c>
      <c r="AX53" s="10">
        <f t="shared" si="11"/>
        <v>1.0739779782553053E-2</v>
      </c>
      <c r="AY53" s="10">
        <f t="shared" si="11"/>
        <v>1.0739779782553053E-2</v>
      </c>
      <c r="AZ53" s="10">
        <f t="shared" si="11"/>
        <v>1.0739779782553053E-2</v>
      </c>
      <c r="BA53" s="10">
        <f t="shared" si="11"/>
        <v>1.0739779782553053E-2</v>
      </c>
      <c r="BB53" s="10">
        <f t="shared" si="11"/>
        <v>1.0739779782553053E-2</v>
      </c>
      <c r="BC53" s="10">
        <f t="shared" si="11"/>
        <v>1.0739779782553053E-2</v>
      </c>
      <c r="BD53" s="10">
        <f t="shared" si="11"/>
        <v>1.0739779782553053E-2</v>
      </c>
      <c r="BE53" s="10">
        <f t="shared" si="11"/>
        <v>1.0739779782553053E-2</v>
      </c>
      <c r="BF53" s="10">
        <f t="shared" si="11"/>
        <v>1.0739779782553053E-2</v>
      </c>
      <c r="BG53" s="10">
        <f t="shared" si="11"/>
        <v>1.0739779782553053E-2</v>
      </c>
      <c r="BH53" s="10">
        <f t="shared" si="11"/>
        <v>1.0739779782553053E-2</v>
      </c>
      <c r="BI53" s="10">
        <f t="shared" si="11"/>
        <v>1.0739779782553053E-2</v>
      </c>
    </row>
    <row r="54" spans="1:61" ht="30">
      <c r="A54" s="8" t="str">
        <f t="shared" si="9"/>
        <v>Pociąg grupowy, 
trakcja spalinowa</v>
      </c>
      <c r="B54" s="110" t="s">
        <v>517</v>
      </c>
      <c r="C54" s="13"/>
      <c r="D54" s="13"/>
      <c r="E54" s="13"/>
      <c r="F54" s="13"/>
      <c r="G54" s="13"/>
      <c r="H54" s="13"/>
      <c r="I54" s="13"/>
      <c r="J54" s="13"/>
      <c r="K54" s="13"/>
      <c r="L54" s="13"/>
      <c r="M54" s="13"/>
      <c r="N54" s="13"/>
      <c r="O54" s="13"/>
      <c r="P54" s="13"/>
      <c r="Q54" s="78"/>
      <c r="R54" s="78"/>
      <c r="S54" s="10">
        <f>S47/$V$9</f>
        <v>1.0447181362144408E-2</v>
      </c>
      <c r="T54" s="10">
        <f t="shared" ref="T54:BI54" si="12">T47/$V$9</f>
        <v>1.0687466533473728E-2</v>
      </c>
      <c r="U54" s="10">
        <f t="shared" si="12"/>
        <v>1.1050840395611836E-2</v>
      </c>
      <c r="V54" s="10">
        <f t="shared" si="12"/>
        <v>1.1614433255788039E-2</v>
      </c>
      <c r="W54" s="10">
        <f t="shared" si="12"/>
        <v>1.3286911644621518E-2</v>
      </c>
      <c r="X54" s="10">
        <f t="shared" si="12"/>
        <v>1.4801619572108373E-2</v>
      </c>
      <c r="Y54" s="10">
        <f t="shared" si="12"/>
        <v>1.4801619572108373E-2</v>
      </c>
      <c r="Z54" s="10">
        <f t="shared" si="12"/>
        <v>1.4801619572108373E-2</v>
      </c>
      <c r="AA54" s="10">
        <f t="shared" si="12"/>
        <v>1.4801619572108373E-2</v>
      </c>
      <c r="AB54" s="10">
        <f t="shared" si="12"/>
        <v>1.4801619572108373E-2</v>
      </c>
      <c r="AC54" s="10">
        <f t="shared" si="12"/>
        <v>1.4801619572108373E-2</v>
      </c>
      <c r="AD54" s="10">
        <f t="shared" si="12"/>
        <v>1.4801619572108373E-2</v>
      </c>
      <c r="AE54" s="10">
        <f t="shared" si="12"/>
        <v>1.4801619572108373E-2</v>
      </c>
      <c r="AF54" s="10">
        <f t="shared" si="12"/>
        <v>1.4801619572108373E-2</v>
      </c>
      <c r="AG54" s="10">
        <f t="shared" si="12"/>
        <v>1.4801619572108373E-2</v>
      </c>
      <c r="AH54" s="10">
        <f t="shared" si="12"/>
        <v>1.4801619572108373E-2</v>
      </c>
      <c r="AI54" s="10">
        <f t="shared" si="12"/>
        <v>1.4801619572108373E-2</v>
      </c>
      <c r="AJ54" s="10">
        <f t="shared" si="12"/>
        <v>1.4801619572108373E-2</v>
      </c>
      <c r="AK54" s="10">
        <f t="shared" si="12"/>
        <v>1.4801619572108373E-2</v>
      </c>
      <c r="AL54" s="10">
        <f t="shared" si="12"/>
        <v>1.4801619572108373E-2</v>
      </c>
      <c r="AM54" s="10">
        <f t="shared" si="12"/>
        <v>1.4801619572108373E-2</v>
      </c>
      <c r="AN54" s="10">
        <f t="shared" si="12"/>
        <v>1.4801619572108373E-2</v>
      </c>
      <c r="AO54" s="10">
        <f t="shared" si="12"/>
        <v>1.4801619572108373E-2</v>
      </c>
      <c r="AP54" s="10">
        <f t="shared" si="12"/>
        <v>1.4801619572108373E-2</v>
      </c>
      <c r="AQ54" s="10">
        <f t="shared" si="12"/>
        <v>1.4801619572108373E-2</v>
      </c>
      <c r="AR54" s="10">
        <f t="shared" si="12"/>
        <v>1.4801619572108373E-2</v>
      </c>
      <c r="AS54" s="10">
        <f t="shared" si="12"/>
        <v>1.4801619572108373E-2</v>
      </c>
      <c r="AT54" s="10">
        <f t="shared" si="12"/>
        <v>1.4801619572108373E-2</v>
      </c>
      <c r="AU54" s="10">
        <f t="shared" si="12"/>
        <v>1.4801619572108373E-2</v>
      </c>
      <c r="AV54" s="10">
        <f t="shared" si="12"/>
        <v>1.4801619572108373E-2</v>
      </c>
      <c r="AW54" s="10">
        <f t="shared" si="12"/>
        <v>1.4801619572108373E-2</v>
      </c>
      <c r="AX54" s="10">
        <f t="shared" si="12"/>
        <v>1.4801619572108373E-2</v>
      </c>
      <c r="AY54" s="10">
        <f t="shared" si="12"/>
        <v>1.4801619572108373E-2</v>
      </c>
      <c r="AZ54" s="10">
        <f t="shared" si="12"/>
        <v>1.4801619572108373E-2</v>
      </c>
      <c r="BA54" s="10">
        <f t="shared" si="12"/>
        <v>1.4801619572108373E-2</v>
      </c>
      <c r="BB54" s="10">
        <f t="shared" si="12"/>
        <v>1.4801619572108373E-2</v>
      </c>
      <c r="BC54" s="10">
        <f t="shared" si="12"/>
        <v>1.4801619572108373E-2</v>
      </c>
      <c r="BD54" s="10">
        <f t="shared" si="12"/>
        <v>1.4801619572108373E-2</v>
      </c>
      <c r="BE54" s="10">
        <f t="shared" si="12"/>
        <v>1.4801619572108373E-2</v>
      </c>
      <c r="BF54" s="10">
        <f t="shared" si="12"/>
        <v>1.4801619572108373E-2</v>
      </c>
      <c r="BG54" s="10">
        <f t="shared" si="12"/>
        <v>1.4801619572108373E-2</v>
      </c>
      <c r="BH54" s="10">
        <f t="shared" si="12"/>
        <v>1.4801619572108373E-2</v>
      </c>
      <c r="BI54" s="10">
        <f t="shared" si="12"/>
        <v>1.4801619572108373E-2</v>
      </c>
    </row>
    <row r="55" spans="1:61" ht="45">
      <c r="A55" s="8" t="str">
        <f t="shared" si="9"/>
        <v>Pociąg kontenerowy, intermodalny, 
trakcja elektryczna</v>
      </c>
      <c r="B55" s="110" t="s">
        <v>517</v>
      </c>
      <c r="C55" s="13"/>
      <c r="D55" s="13"/>
      <c r="E55" s="13"/>
      <c r="F55" s="13"/>
      <c r="G55" s="13"/>
      <c r="H55" s="13"/>
      <c r="I55" s="13"/>
      <c r="J55" s="13"/>
      <c r="K55" s="13"/>
      <c r="L55" s="13"/>
      <c r="M55" s="13"/>
      <c r="N55" s="13"/>
      <c r="O55" s="13"/>
      <c r="P55" s="13"/>
      <c r="Q55" s="78"/>
      <c r="R55" s="78"/>
      <c r="S55" s="10">
        <f>S48/$X$9</f>
        <v>1.155234737563563E-2</v>
      </c>
      <c r="T55" s="10">
        <f t="shared" ref="T55:BI55" si="13">T48/$X$9</f>
        <v>1.1818051365275247E-2</v>
      </c>
      <c r="U55" s="10">
        <f t="shared" si="13"/>
        <v>1.2219865111694607E-2</v>
      </c>
      <c r="V55" s="10">
        <f t="shared" si="13"/>
        <v>1.2843078232391031E-2</v>
      </c>
      <c r="W55" s="10">
        <f t="shared" si="13"/>
        <v>1.4692481497855342E-2</v>
      </c>
      <c r="X55" s="10">
        <f t="shared" si="13"/>
        <v>1.6367424388610854E-2</v>
      </c>
      <c r="Y55" s="10">
        <f t="shared" si="13"/>
        <v>1.6367424388610854E-2</v>
      </c>
      <c r="Z55" s="10">
        <f t="shared" si="13"/>
        <v>1.6367424388610854E-2</v>
      </c>
      <c r="AA55" s="10">
        <f t="shared" si="13"/>
        <v>1.6367424388610854E-2</v>
      </c>
      <c r="AB55" s="10">
        <f t="shared" si="13"/>
        <v>1.6367424388610854E-2</v>
      </c>
      <c r="AC55" s="10">
        <f t="shared" si="13"/>
        <v>1.6367424388610854E-2</v>
      </c>
      <c r="AD55" s="10">
        <f t="shared" si="13"/>
        <v>1.6367424388610854E-2</v>
      </c>
      <c r="AE55" s="10">
        <f t="shared" si="13"/>
        <v>1.6367424388610854E-2</v>
      </c>
      <c r="AF55" s="10">
        <f t="shared" si="13"/>
        <v>1.6367424388610854E-2</v>
      </c>
      <c r="AG55" s="10">
        <f t="shared" si="13"/>
        <v>1.6367424388610854E-2</v>
      </c>
      <c r="AH55" s="10">
        <f t="shared" si="13"/>
        <v>1.6367424388610854E-2</v>
      </c>
      <c r="AI55" s="10">
        <f t="shared" si="13"/>
        <v>1.6367424388610854E-2</v>
      </c>
      <c r="AJ55" s="10">
        <f t="shared" si="13"/>
        <v>1.6367424388610854E-2</v>
      </c>
      <c r="AK55" s="10">
        <f t="shared" si="13"/>
        <v>1.6367424388610854E-2</v>
      </c>
      <c r="AL55" s="10">
        <f t="shared" si="13"/>
        <v>1.6367424388610854E-2</v>
      </c>
      <c r="AM55" s="10">
        <f t="shared" si="13"/>
        <v>1.6367424388610854E-2</v>
      </c>
      <c r="AN55" s="10">
        <f t="shared" si="13"/>
        <v>1.6367424388610854E-2</v>
      </c>
      <c r="AO55" s="10">
        <f t="shared" si="13"/>
        <v>1.6367424388610854E-2</v>
      </c>
      <c r="AP55" s="10">
        <f t="shared" si="13"/>
        <v>1.6367424388610854E-2</v>
      </c>
      <c r="AQ55" s="10">
        <f t="shared" si="13"/>
        <v>1.6367424388610854E-2</v>
      </c>
      <c r="AR55" s="10">
        <f t="shared" si="13"/>
        <v>1.6367424388610854E-2</v>
      </c>
      <c r="AS55" s="10">
        <f t="shared" si="13"/>
        <v>1.6367424388610854E-2</v>
      </c>
      <c r="AT55" s="10">
        <f t="shared" si="13"/>
        <v>1.6367424388610854E-2</v>
      </c>
      <c r="AU55" s="10">
        <f t="shared" si="13"/>
        <v>1.6367424388610854E-2</v>
      </c>
      <c r="AV55" s="10">
        <f t="shared" si="13"/>
        <v>1.6367424388610854E-2</v>
      </c>
      <c r="AW55" s="10">
        <f t="shared" si="13"/>
        <v>1.6367424388610854E-2</v>
      </c>
      <c r="AX55" s="10">
        <f t="shared" si="13"/>
        <v>1.6367424388610854E-2</v>
      </c>
      <c r="AY55" s="10">
        <f t="shared" si="13"/>
        <v>1.6367424388610854E-2</v>
      </c>
      <c r="AZ55" s="10">
        <f t="shared" si="13"/>
        <v>1.6367424388610854E-2</v>
      </c>
      <c r="BA55" s="10">
        <f t="shared" si="13"/>
        <v>1.6367424388610854E-2</v>
      </c>
      <c r="BB55" s="10">
        <f t="shared" si="13"/>
        <v>1.6367424388610854E-2</v>
      </c>
      <c r="BC55" s="10">
        <f t="shared" si="13"/>
        <v>1.6367424388610854E-2</v>
      </c>
      <c r="BD55" s="10">
        <f t="shared" si="13"/>
        <v>1.6367424388610854E-2</v>
      </c>
      <c r="BE55" s="10">
        <f t="shared" si="13"/>
        <v>1.6367424388610854E-2</v>
      </c>
      <c r="BF55" s="10">
        <f t="shared" si="13"/>
        <v>1.6367424388610854E-2</v>
      </c>
      <c r="BG55" s="10">
        <f t="shared" si="13"/>
        <v>1.6367424388610854E-2</v>
      </c>
      <c r="BH55" s="10">
        <f t="shared" si="13"/>
        <v>1.6367424388610854E-2</v>
      </c>
      <c r="BI55" s="10">
        <f t="shared" si="13"/>
        <v>1.6367424388610854E-2</v>
      </c>
    </row>
    <row r="56" spans="1:61" ht="45">
      <c r="A56" s="8" t="str">
        <f t="shared" si="9"/>
        <v>Pociąg kontenerowy, intermodalny, 
trakcja spalinowa</v>
      </c>
      <c r="B56" s="110" t="s">
        <v>517</v>
      </c>
      <c r="C56" s="13"/>
      <c r="D56" s="13"/>
      <c r="E56" s="13"/>
      <c r="F56" s="13"/>
      <c r="G56" s="13"/>
      <c r="H56" s="13"/>
      <c r="I56" s="13"/>
      <c r="J56" s="13"/>
      <c r="K56" s="13"/>
      <c r="L56" s="13"/>
      <c r="M56" s="13"/>
      <c r="N56" s="13"/>
      <c r="O56" s="13"/>
      <c r="P56" s="13"/>
      <c r="Q56" s="78"/>
      <c r="R56" s="78"/>
      <c r="S56" s="10">
        <f>S49/$Z$9</f>
        <v>1.5921504395908077E-2</v>
      </c>
      <c r="T56" s="10">
        <f t="shared" ref="T56:BI56" si="14">T49/$Z$9</f>
        <v>1.6287698997013961E-2</v>
      </c>
      <c r="U56" s="10">
        <f t="shared" si="14"/>
        <v>1.6841480762912437E-2</v>
      </c>
      <c r="V56" s="10">
        <f t="shared" si="14"/>
        <v>1.7700396281820973E-2</v>
      </c>
      <c r="W56" s="10">
        <f t="shared" si="14"/>
        <v>2.0249253346403193E-2</v>
      </c>
      <c r="X56" s="10">
        <f t="shared" si="14"/>
        <v>2.2557668227893159E-2</v>
      </c>
      <c r="Y56" s="10">
        <f t="shared" si="14"/>
        <v>2.2557668227893159E-2</v>
      </c>
      <c r="Z56" s="10">
        <f t="shared" si="14"/>
        <v>2.2557668227893159E-2</v>
      </c>
      <c r="AA56" s="10">
        <f t="shared" si="14"/>
        <v>2.2557668227893159E-2</v>
      </c>
      <c r="AB56" s="10">
        <f t="shared" si="14"/>
        <v>2.2557668227893159E-2</v>
      </c>
      <c r="AC56" s="10">
        <f t="shared" si="14"/>
        <v>2.2557668227893159E-2</v>
      </c>
      <c r="AD56" s="10">
        <f t="shared" si="14"/>
        <v>2.2557668227893159E-2</v>
      </c>
      <c r="AE56" s="10">
        <f t="shared" si="14"/>
        <v>2.2557668227893159E-2</v>
      </c>
      <c r="AF56" s="10">
        <f t="shared" si="14"/>
        <v>2.2557668227893159E-2</v>
      </c>
      <c r="AG56" s="10">
        <f t="shared" si="14"/>
        <v>2.2557668227893159E-2</v>
      </c>
      <c r="AH56" s="10">
        <f t="shared" si="14"/>
        <v>2.2557668227893159E-2</v>
      </c>
      <c r="AI56" s="10">
        <f t="shared" si="14"/>
        <v>2.2557668227893159E-2</v>
      </c>
      <c r="AJ56" s="10">
        <f t="shared" si="14"/>
        <v>2.2557668227893159E-2</v>
      </c>
      <c r="AK56" s="10">
        <f t="shared" si="14"/>
        <v>2.2557668227893159E-2</v>
      </c>
      <c r="AL56" s="10">
        <f t="shared" si="14"/>
        <v>2.2557668227893159E-2</v>
      </c>
      <c r="AM56" s="10">
        <f t="shared" si="14"/>
        <v>2.2557668227893159E-2</v>
      </c>
      <c r="AN56" s="10">
        <f t="shared" si="14"/>
        <v>2.2557668227893159E-2</v>
      </c>
      <c r="AO56" s="10">
        <f t="shared" si="14"/>
        <v>2.2557668227893159E-2</v>
      </c>
      <c r="AP56" s="10">
        <f t="shared" si="14"/>
        <v>2.2557668227893159E-2</v>
      </c>
      <c r="AQ56" s="10">
        <f t="shared" si="14"/>
        <v>2.2557668227893159E-2</v>
      </c>
      <c r="AR56" s="10">
        <f t="shared" si="14"/>
        <v>2.2557668227893159E-2</v>
      </c>
      <c r="AS56" s="10">
        <f t="shared" si="14"/>
        <v>2.2557668227893159E-2</v>
      </c>
      <c r="AT56" s="10">
        <f t="shared" si="14"/>
        <v>2.2557668227893159E-2</v>
      </c>
      <c r="AU56" s="10">
        <f t="shared" si="14"/>
        <v>2.2557668227893159E-2</v>
      </c>
      <c r="AV56" s="10">
        <f t="shared" si="14"/>
        <v>2.2557668227893159E-2</v>
      </c>
      <c r="AW56" s="10">
        <f t="shared" si="14"/>
        <v>2.2557668227893159E-2</v>
      </c>
      <c r="AX56" s="10">
        <f t="shared" si="14"/>
        <v>2.2557668227893159E-2</v>
      </c>
      <c r="AY56" s="10">
        <f t="shared" si="14"/>
        <v>2.2557668227893159E-2</v>
      </c>
      <c r="AZ56" s="10">
        <f t="shared" si="14"/>
        <v>2.2557668227893159E-2</v>
      </c>
      <c r="BA56" s="10">
        <f t="shared" si="14"/>
        <v>2.2557668227893159E-2</v>
      </c>
      <c r="BB56" s="10">
        <f t="shared" si="14"/>
        <v>2.2557668227893159E-2</v>
      </c>
      <c r="BC56" s="10">
        <f t="shared" si="14"/>
        <v>2.2557668227893159E-2</v>
      </c>
      <c r="BD56" s="10">
        <f t="shared" si="14"/>
        <v>2.2557668227893159E-2</v>
      </c>
      <c r="BE56" s="10">
        <f t="shared" si="14"/>
        <v>2.2557668227893159E-2</v>
      </c>
      <c r="BF56" s="10">
        <f t="shared" si="14"/>
        <v>2.2557668227893159E-2</v>
      </c>
      <c r="BG56" s="10">
        <f t="shared" si="14"/>
        <v>2.2557668227893159E-2</v>
      </c>
      <c r="BH56" s="10">
        <f t="shared" si="14"/>
        <v>2.2557668227893159E-2</v>
      </c>
      <c r="BI56" s="10">
        <f t="shared" si="14"/>
        <v>2.2557668227893159E-2</v>
      </c>
    </row>
    <row r="57" spans="1:61" ht="15" customHeight="1">
      <c r="A57" s="9" t="s">
        <v>518</v>
      </c>
      <c r="B57" s="6"/>
      <c r="C57" s="6"/>
      <c r="D57" s="6"/>
      <c r="E57" s="6"/>
      <c r="F57" s="6"/>
      <c r="G57" s="6"/>
      <c r="H57" s="6"/>
      <c r="I57" s="6"/>
      <c r="J57" s="6"/>
      <c r="K57" s="6"/>
      <c r="L57" s="6"/>
      <c r="M57" s="6"/>
      <c r="N57" s="6"/>
      <c r="O57" s="6"/>
      <c r="P57" s="6"/>
      <c r="Q57" s="6"/>
      <c r="R57" s="183"/>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row>
    <row r="58" spans="1:61" ht="30">
      <c r="A58" s="8" t="str">
        <f>A44</f>
        <v>Pociąg blokowy (bezpośredni), 
trakcja elektryczna</v>
      </c>
      <c r="B58" s="110" t="s">
        <v>490</v>
      </c>
      <c r="C58" s="13"/>
      <c r="D58" s="13"/>
      <c r="E58" s="13"/>
      <c r="F58" s="13"/>
      <c r="G58" s="13"/>
      <c r="H58" s="13"/>
      <c r="I58" s="13"/>
      <c r="J58" s="13"/>
      <c r="K58" s="13"/>
      <c r="L58" s="13"/>
      <c r="M58" s="13"/>
      <c r="N58" s="13"/>
      <c r="O58" s="13"/>
      <c r="P58" s="13"/>
      <c r="Q58" s="78"/>
      <c r="R58" s="78"/>
      <c r="S58" s="10">
        <f>S44/$P$8</f>
        <v>5.081677731218019E-3</v>
      </c>
      <c r="T58" s="10">
        <f t="shared" ref="T58:BI58" si="15">T44/$P$8</f>
        <v>5.1985563190360328E-3</v>
      </c>
      <c r="U58" s="10">
        <f t="shared" si="15"/>
        <v>5.3753072338832584E-3</v>
      </c>
      <c r="V58" s="10">
        <f t="shared" si="15"/>
        <v>5.6494479028113042E-3</v>
      </c>
      <c r="W58" s="10">
        <f t="shared" si="15"/>
        <v>6.4629684008161332E-3</v>
      </c>
      <c r="X58" s="10">
        <f t="shared" si="15"/>
        <v>7.1997467985091728E-3</v>
      </c>
      <c r="Y58" s="10">
        <f t="shared" si="15"/>
        <v>7.1997467985091728E-3</v>
      </c>
      <c r="Z58" s="10">
        <f t="shared" si="15"/>
        <v>7.1997467985091728E-3</v>
      </c>
      <c r="AA58" s="10">
        <f t="shared" si="15"/>
        <v>7.1997467985091728E-3</v>
      </c>
      <c r="AB58" s="10">
        <f t="shared" si="15"/>
        <v>7.1997467985091728E-3</v>
      </c>
      <c r="AC58" s="10">
        <f t="shared" si="15"/>
        <v>7.1997467985091728E-3</v>
      </c>
      <c r="AD58" s="10">
        <f t="shared" si="15"/>
        <v>7.1997467985091728E-3</v>
      </c>
      <c r="AE58" s="10">
        <f t="shared" si="15"/>
        <v>7.1997467985091728E-3</v>
      </c>
      <c r="AF58" s="10">
        <f t="shared" si="15"/>
        <v>7.1997467985091728E-3</v>
      </c>
      <c r="AG58" s="10">
        <f t="shared" si="15"/>
        <v>7.1997467985091728E-3</v>
      </c>
      <c r="AH58" s="10">
        <f t="shared" si="15"/>
        <v>7.1997467985091728E-3</v>
      </c>
      <c r="AI58" s="10">
        <f t="shared" si="15"/>
        <v>7.1997467985091728E-3</v>
      </c>
      <c r="AJ58" s="10">
        <f t="shared" si="15"/>
        <v>7.1997467985091728E-3</v>
      </c>
      <c r="AK58" s="10">
        <f t="shared" si="15"/>
        <v>7.1997467985091728E-3</v>
      </c>
      <c r="AL58" s="10">
        <f t="shared" si="15"/>
        <v>7.1997467985091728E-3</v>
      </c>
      <c r="AM58" s="10">
        <f t="shared" si="15"/>
        <v>7.1997467985091728E-3</v>
      </c>
      <c r="AN58" s="10">
        <f t="shared" si="15"/>
        <v>7.1997467985091728E-3</v>
      </c>
      <c r="AO58" s="10">
        <f t="shared" si="15"/>
        <v>7.1997467985091728E-3</v>
      </c>
      <c r="AP58" s="10">
        <f t="shared" si="15"/>
        <v>7.1997467985091728E-3</v>
      </c>
      <c r="AQ58" s="10">
        <f t="shared" si="15"/>
        <v>7.1997467985091728E-3</v>
      </c>
      <c r="AR58" s="10">
        <f t="shared" si="15"/>
        <v>7.1997467985091728E-3</v>
      </c>
      <c r="AS58" s="10">
        <f t="shared" si="15"/>
        <v>7.1997467985091728E-3</v>
      </c>
      <c r="AT58" s="10">
        <f t="shared" si="15"/>
        <v>7.1997467985091728E-3</v>
      </c>
      <c r="AU58" s="10">
        <f t="shared" si="15"/>
        <v>7.1997467985091728E-3</v>
      </c>
      <c r="AV58" s="10">
        <f t="shared" si="15"/>
        <v>7.1997467985091728E-3</v>
      </c>
      <c r="AW58" s="10">
        <f t="shared" si="15"/>
        <v>7.1997467985091728E-3</v>
      </c>
      <c r="AX58" s="10">
        <f t="shared" si="15"/>
        <v>7.1997467985091728E-3</v>
      </c>
      <c r="AY58" s="10">
        <f t="shared" si="15"/>
        <v>7.1997467985091728E-3</v>
      </c>
      <c r="AZ58" s="10">
        <f t="shared" si="15"/>
        <v>7.1997467985091728E-3</v>
      </c>
      <c r="BA58" s="10">
        <f t="shared" si="15"/>
        <v>7.1997467985091728E-3</v>
      </c>
      <c r="BB58" s="10">
        <f t="shared" si="15"/>
        <v>7.1997467985091728E-3</v>
      </c>
      <c r="BC58" s="10">
        <f t="shared" si="15"/>
        <v>7.1997467985091728E-3</v>
      </c>
      <c r="BD58" s="10">
        <f t="shared" si="15"/>
        <v>7.1997467985091728E-3</v>
      </c>
      <c r="BE58" s="10">
        <f t="shared" si="15"/>
        <v>7.1997467985091728E-3</v>
      </c>
      <c r="BF58" s="10">
        <f t="shared" si="15"/>
        <v>7.1997467985091728E-3</v>
      </c>
      <c r="BG58" s="10">
        <f t="shared" si="15"/>
        <v>7.1997467985091728E-3</v>
      </c>
      <c r="BH58" s="10">
        <f t="shared" si="15"/>
        <v>7.1997467985091728E-3</v>
      </c>
      <c r="BI58" s="10">
        <f t="shared" si="15"/>
        <v>7.1997467985091728E-3</v>
      </c>
    </row>
    <row r="59" spans="1:61" ht="30">
      <c r="A59" s="8" t="str">
        <f t="shared" ref="A59:A63" si="16">A45</f>
        <v>Pociąg blokowy (bezpośredni), 
trakcja spalinowa</v>
      </c>
      <c r="B59" s="110" t="s">
        <v>490</v>
      </c>
      <c r="C59" s="13"/>
      <c r="D59" s="13"/>
      <c r="E59" s="13"/>
      <c r="F59" s="13"/>
      <c r="G59" s="13"/>
      <c r="H59" s="13"/>
      <c r="I59" s="13"/>
      <c r="J59" s="13"/>
      <c r="K59" s="13"/>
      <c r="L59" s="13"/>
      <c r="M59" s="13"/>
      <c r="N59" s="13"/>
      <c r="O59" s="13"/>
      <c r="P59" s="13"/>
      <c r="Q59" s="78"/>
      <c r="R59" s="78"/>
      <c r="S59" s="10">
        <f>S45/$R$8</f>
        <v>6.8904375631454462E-3</v>
      </c>
      <c r="T59" s="10">
        <f t="shared" ref="T59:BI59" si="17">T45/$R$8</f>
        <v>7.0489176270977904E-3</v>
      </c>
      <c r="U59" s="10">
        <f t="shared" si="17"/>
        <v>7.2885808264191157E-3</v>
      </c>
      <c r="V59" s="10">
        <f t="shared" si="17"/>
        <v>7.6602984485664907E-3</v>
      </c>
      <c r="W59" s="10">
        <f t="shared" si="17"/>
        <v>8.7633814251600658E-3</v>
      </c>
      <c r="X59" s="10">
        <f t="shared" si="17"/>
        <v>9.7624069076283158E-3</v>
      </c>
      <c r="Y59" s="10">
        <f t="shared" si="17"/>
        <v>9.7624069076283158E-3</v>
      </c>
      <c r="Z59" s="10">
        <f t="shared" si="17"/>
        <v>9.7624069076283158E-3</v>
      </c>
      <c r="AA59" s="10">
        <f t="shared" si="17"/>
        <v>9.7624069076283158E-3</v>
      </c>
      <c r="AB59" s="10">
        <f t="shared" si="17"/>
        <v>9.7624069076283158E-3</v>
      </c>
      <c r="AC59" s="10">
        <f t="shared" si="17"/>
        <v>9.7624069076283158E-3</v>
      </c>
      <c r="AD59" s="10">
        <f t="shared" si="17"/>
        <v>9.7624069076283158E-3</v>
      </c>
      <c r="AE59" s="10">
        <f t="shared" si="17"/>
        <v>9.7624069076283158E-3</v>
      </c>
      <c r="AF59" s="10">
        <f t="shared" si="17"/>
        <v>9.7624069076283158E-3</v>
      </c>
      <c r="AG59" s="10">
        <f t="shared" si="17"/>
        <v>9.7624069076283158E-3</v>
      </c>
      <c r="AH59" s="10">
        <f t="shared" si="17"/>
        <v>9.7624069076283158E-3</v>
      </c>
      <c r="AI59" s="10">
        <f t="shared" si="17"/>
        <v>9.7624069076283158E-3</v>
      </c>
      <c r="AJ59" s="10">
        <f t="shared" si="17"/>
        <v>9.7624069076283158E-3</v>
      </c>
      <c r="AK59" s="10">
        <f t="shared" si="17"/>
        <v>9.7624069076283158E-3</v>
      </c>
      <c r="AL59" s="10">
        <f t="shared" si="17"/>
        <v>9.7624069076283158E-3</v>
      </c>
      <c r="AM59" s="10">
        <f t="shared" si="17"/>
        <v>9.7624069076283158E-3</v>
      </c>
      <c r="AN59" s="10">
        <f t="shared" si="17"/>
        <v>9.7624069076283158E-3</v>
      </c>
      <c r="AO59" s="10">
        <f t="shared" si="17"/>
        <v>9.7624069076283158E-3</v>
      </c>
      <c r="AP59" s="10">
        <f t="shared" si="17"/>
        <v>9.7624069076283158E-3</v>
      </c>
      <c r="AQ59" s="10">
        <f t="shared" si="17"/>
        <v>9.7624069076283158E-3</v>
      </c>
      <c r="AR59" s="10">
        <f t="shared" si="17"/>
        <v>9.7624069076283158E-3</v>
      </c>
      <c r="AS59" s="10">
        <f t="shared" si="17"/>
        <v>9.7624069076283158E-3</v>
      </c>
      <c r="AT59" s="10">
        <f t="shared" si="17"/>
        <v>9.7624069076283158E-3</v>
      </c>
      <c r="AU59" s="10">
        <f t="shared" si="17"/>
        <v>9.7624069076283158E-3</v>
      </c>
      <c r="AV59" s="10">
        <f t="shared" si="17"/>
        <v>9.7624069076283158E-3</v>
      </c>
      <c r="AW59" s="10">
        <f t="shared" si="17"/>
        <v>9.7624069076283158E-3</v>
      </c>
      <c r="AX59" s="10">
        <f t="shared" si="17"/>
        <v>9.7624069076283158E-3</v>
      </c>
      <c r="AY59" s="10">
        <f t="shared" si="17"/>
        <v>9.7624069076283158E-3</v>
      </c>
      <c r="AZ59" s="10">
        <f t="shared" si="17"/>
        <v>9.7624069076283158E-3</v>
      </c>
      <c r="BA59" s="10">
        <f t="shared" si="17"/>
        <v>9.7624069076283158E-3</v>
      </c>
      <c r="BB59" s="10">
        <f t="shared" si="17"/>
        <v>9.7624069076283158E-3</v>
      </c>
      <c r="BC59" s="10">
        <f t="shared" si="17"/>
        <v>9.7624069076283158E-3</v>
      </c>
      <c r="BD59" s="10">
        <f t="shared" si="17"/>
        <v>9.7624069076283158E-3</v>
      </c>
      <c r="BE59" s="10">
        <f t="shared" si="17"/>
        <v>9.7624069076283158E-3</v>
      </c>
      <c r="BF59" s="10">
        <f t="shared" si="17"/>
        <v>9.7624069076283158E-3</v>
      </c>
      <c r="BG59" s="10">
        <f t="shared" si="17"/>
        <v>9.7624069076283158E-3</v>
      </c>
      <c r="BH59" s="10">
        <f t="shared" si="17"/>
        <v>9.7624069076283158E-3</v>
      </c>
      <c r="BI59" s="10">
        <f t="shared" si="17"/>
        <v>9.7624069076283158E-3</v>
      </c>
    </row>
    <row r="60" spans="1:61" ht="30">
      <c r="A60" s="8" t="str">
        <f t="shared" si="16"/>
        <v>Pociąg grupowy, 
trakcja elektryczna</v>
      </c>
      <c r="B60" s="110" t="s">
        <v>490</v>
      </c>
      <c r="C60" s="13"/>
      <c r="D60" s="13"/>
      <c r="E60" s="13"/>
      <c r="F60" s="13"/>
      <c r="G60" s="13"/>
      <c r="H60" s="13"/>
      <c r="I60" s="13"/>
      <c r="J60" s="13"/>
      <c r="K60" s="13"/>
      <c r="L60" s="13"/>
      <c r="M60" s="13"/>
      <c r="N60" s="13"/>
      <c r="O60" s="13"/>
      <c r="P60" s="13"/>
      <c r="Q60" s="78"/>
      <c r="R60" s="78"/>
      <c r="S60" s="10">
        <f>S46/$T$8</f>
        <v>5.081677731218019E-3</v>
      </c>
      <c r="T60" s="10">
        <f t="shared" ref="T60:BI60" si="18">T46/$T$8</f>
        <v>5.1985563190360328E-3</v>
      </c>
      <c r="U60" s="10">
        <f t="shared" si="18"/>
        <v>5.3753072338832584E-3</v>
      </c>
      <c r="V60" s="10">
        <f t="shared" si="18"/>
        <v>5.6494479028113042E-3</v>
      </c>
      <c r="W60" s="10">
        <f t="shared" si="18"/>
        <v>6.4629684008161332E-3</v>
      </c>
      <c r="X60" s="10">
        <f t="shared" si="18"/>
        <v>7.1997467985091728E-3</v>
      </c>
      <c r="Y60" s="10">
        <f t="shared" si="18"/>
        <v>7.1997467985091728E-3</v>
      </c>
      <c r="Z60" s="10">
        <f t="shared" si="18"/>
        <v>7.1997467985091728E-3</v>
      </c>
      <c r="AA60" s="10">
        <f t="shared" si="18"/>
        <v>7.1997467985091728E-3</v>
      </c>
      <c r="AB60" s="10">
        <f t="shared" si="18"/>
        <v>7.1997467985091728E-3</v>
      </c>
      <c r="AC60" s="10">
        <f t="shared" si="18"/>
        <v>7.1997467985091728E-3</v>
      </c>
      <c r="AD60" s="10">
        <f t="shared" si="18"/>
        <v>7.1997467985091728E-3</v>
      </c>
      <c r="AE60" s="10">
        <f t="shared" si="18"/>
        <v>7.1997467985091728E-3</v>
      </c>
      <c r="AF60" s="10">
        <f t="shared" si="18"/>
        <v>7.1997467985091728E-3</v>
      </c>
      <c r="AG60" s="10">
        <f t="shared" si="18"/>
        <v>7.1997467985091728E-3</v>
      </c>
      <c r="AH60" s="10">
        <f t="shared" si="18"/>
        <v>7.1997467985091728E-3</v>
      </c>
      <c r="AI60" s="10">
        <f t="shared" si="18"/>
        <v>7.1997467985091728E-3</v>
      </c>
      <c r="AJ60" s="10">
        <f t="shared" si="18"/>
        <v>7.1997467985091728E-3</v>
      </c>
      <c r="AK60" s="10">
        <f t="shared" si="18"/>
        <v>7.1997467985091728E-3</v>
      </c>
      <c r="AL60" s="10">
        <f t="shared" si="18"/>
        <v>7.1997467985091728E-3</v>
      </c>
      <c r="AM60" s="10">
        <f t="shared" si="18"/>
        <v>7.1997467985091728E-3</v>
      </c>
      <c r="AN60" s="10">
        <f t="shared" si="18"/>
        <v>7.1997467985091728E-3</v>
      </c>
      <c r="AO60" s="10">
        <f t="shared" si="18"/>
        <v>7.1997467985091728E-3</v>
      </c>
      <c r="AP60" s="10">
        <f t="shared" si="18"/>
        <v>7.1997467985091728E-3</v>
      </c>
      <c r="AQ60" s="10">
        <f t="shared" si="18"/>
        <v>7.1997467985091728E-3</v>
      </c>
      <c r="AR60" s="10">
        <f t="shared" si="18"/>
        <v>7.1997467985091728E-3</v>
      </c>
      <c r="AS60" s="10">
        <f t="shared" si="18"/>
        <v>7.1997467985091728E-3</v>
      </c>
      <c r="AT60" s="10">
        <f t="shared" si="18"/>
        <v>7.1997467985091728E-3</v>
      </c>
      <c r="AU60" s="10">
        <f t="shared" si="18"/>
        <v>7.1997467985091728E-3</v>
      </c>
      <c r="AV60" s="10">
        <f t="shared" si="18"/>
        <v>7.1997467985091728E-3</v>
      </c>
      <c r="AW60" s="10">
        <f t="shared" si="18"/>
        <v>7.1997467985091728E-3</v>
      </c>
      <c r="AX60" s="10">
        <f t="shared" si="18"/>
        <v>7.1997467985091728E-3</v>
      </c>
      <c r="AY60" s="10">
        <f t="shared" si="18"/>
        <v>7.1997467985091728E-3</v>
      </c>
      <c r="AZ60" s="10">
        <f t="shared" si="18"/>
        <v>7.1997467985091728E-3</v>
      </c>
      <c r="BA60" s="10">
        <f t="shared" si="18"/>
        <v>7.1997467985091728E-3</v>
      </c>
      <c r="BB60" s="10">
        <f t="shared" si="18"/>
        <v>7.1997467985091728E-3</v>
      </c>
      <c r="BC60" s="10">
        <f t="shared" si="18"/>
        <v>7.1997467985091728E-3</v>
      </c>
      <c r="BD60" s="10">
        <f t="shared" si="18"/>
        <v>7.1997467985091728E-3</v>
      </c>
      <c r="BE60" s="10">
        <f t="shared" si="18"/>
        <v>7.1997467985091728E-3</v>
      </c>
      <c r="BF60" s="10">
        <f t="shared" si="18"/>
        <v>7.1997467985091728E-3</v>
      </c>
      <c r="BG60" s="10">
        <f t="shared" si="18"/>
        <v>7.1997467985091728E-3</v>
      </c>
      <c r="BH60" s="10">
        <f t="shared" si="18"/>
        <v>7.1997467985091728E-3</v>
      </c>
      <c r="BI60" s="10">
        <f t="shared" si="18"/>
        <v>7.1997467985091728E-3</v>
      </c>
    </row>
    <row r="61" spans="1:61" ht="30">
      <c r="A61" s="8" t="str">
        <f t="shared" si="16"/>
        <v>Pociąg grupowy, 
trakcja spalinowa</v>
      </c>
      <c r="B61" s="110" t="s">
        <v>490</v>
      </c>
      <c r="C61" s="13"/>
      <c r="D61" s="13"/>
      <c r="E61" s="13"/>
      <c r="F61" s="13"/>
      <c r="G61" s="13"/>
      <c r="H61" s="13"/>
      <c r="I61" s="13"/>
      <c r="J61" s="13"/>
      <c r="K61" s="13"/>
      <c r="L61" s="13"/>
      <c r="M61" s="13"/>
      <c r="N61" s="13"/>
      <c r="O61" s="13"/>
      <c r="P61" s="13"/>
      <c r="Q61" s="78"/>
      <c r="R61" s="78"/>
      <c r="S61" s="10">
        <f>S47/$V$8</f>
        <v>6.8904375631454462E-3</v>
      </c>
      <c r="T61" s="10">
        <f t="shared" ref="T61:BI61" si="19">T47/$V$8</f>
        <v>7.0489176270977904E-3</v>
      </c>
      <c r="U61" s="10">
        <f t="shared" si="19"/>
        <v>7.2885808264191157E-3</v>
      </c>
      <c r="V61" s="10">
        <f t="shared" si="19"/>
        <v>7.6602984485664907E-3</v>
      </c>
      <c r="W61" s="10">
        <f t="shared" si="19"/>
        <v>8.7633814251600658E-3</v>
      </c>
      <c r="X61" s="10">
        <f t="shared" si="19"/>
        <v>9.7624069076283158E-3</v>
      </c>
      <c r="Y61" s="10">
        <f t="shared" si="19"/>
        <v>9.7624069076283158E-3</v>
      </c>
      <c r="Z61" s="10">
        <f t="shared" si="19"/>
        <v>9.7624069076283158E-3</v>
      </c>
      <c r="AA61" s="10">
        <f t="shared" si="19"/>
        <v>9.7624069076283158E-3</v>
      </c>
      <c r="AB61" s="10">
        <f t="shared" si="19"/>
        <v>9.7624069076283158E-3</v>
      </c>
      <c r="AC61" s="10">
        <f t="shared" si="19"/>
        <v>9.7624069076283158E-3</v>
      </c>
      <c r="AD61" s="10">
        <f t="shared" si="19"/>
        <v>9.7624069076283158E-3</v>
      </c>
      <c r="AE61" s="10">
        <f t="shared" si="19"/>
        <v>9.7624069076283158E-3</v>
      </c>
      <c r="AF61" s="10">
        <f t="shared" si="19"/>
        <v>9.7624069076283158E-3</v>
      </c>
      <c r="AG61" s="10">
        <f t="shared" si="19"/>
        <v>9.7624069076283158E-3</v>
      </c>
      <c r="AH61" s="10">
        <f t="shared" si="19"/>
        <v>9.7624069076283158E-3</v>
      </c>
      <c r="AI61" s="10">
        <f t="shared" si="19"/>
        <v>9.7624069076283158E-3</v>
      </c>
      <c r="AJ61" s="10">
        <f t="shared" si="19"/>
        <v>9.7624069076283158E-3</v>
      </c>
      <c r="AK61" s="10">
        <f t="shared" si="19"/>
        <v>9.7624069076283158E-3</v>
      </c>
      <c r="AL61" s="10">
        <f t="shared" si="19"/>
        <v>9.7624069076283158E-3</v>
      </c>
      <c r="AM61" s="10">
        <f t="shared" si="19"/>
        <v>9.7624069076283158E-3</v>
      </c>
      <c r="AN61" s="10">
        <f t="shared" si="19"/>
        <v>9.7624069076283158E-3</v>
      </c>
      <c r="AO61" s="10">
        <f t="shared" si="19"/>
        <v>9.7624069076283158E-3</v>
      </c>
      <c r="AP61" s="10">
        <f t="shared" si="19"/>
        <v>9.7624069076283158E-3</v>
      </c>
      <c r="AQ61" s="10">
        <f t="shared" si="19"/>
        <v>9.7624069076283158E-3</v>
      </c>
      <c r="AR61" s="10">
        <f t="shared" si="19"/>
        <v>9.7624069076283158E-3</v>
      </c>
      <c r="AS61" s="10">
        <f t="shared" si="19"/>
        <v>9.7624069076283158E-3</v>
      </c>
      <c r="AT61" s="10">
        <f t="shared" si="19"/>
        <v>9.7624069076283158E-3</v>
      </c>
      <c r="AU61" s="10">
        <f t="shared" si="19"/>
        <v>9.7624069076283158E-3</v>
      </c>
      <c r="AV61" s="10">
        <f t="shared" si="19"/>
        <v>9.7624069076283158E-3</v>
      </c>
      <c r="AW61" s="10">
        <f t="shared" si="19"/>
        <v>9.7624069076283158E-3</v>
      </c>
      <c r="AX61" s="10">
        <f t="shared" si="19"/>
        <v>9.7624069076283158E-3</v>
      </c>
      <c r="AY61" s="10">
        <f t="shared" si="19"/>
        <v>9.7624069076283158E-3</v>
      </c>
      <c r="AZ61" s="10">
        <f t="shared" si="19"/>
        <v>9.7624069076283158E-3</v>
      </c>
      <c r="BA61" s="10">
        <f t="shared" si="19"/>
        <v>9.7624069076283158E-3</v>
      </c>
      <c r="BB61" s="10">
        <f t="shared" si="19"/>
        <v>9.7624069076283158E-3</v>
      </c>
      <c r="BC61" s="10">
        <f t="shared" si="19"/>
        <v>9.7624069076283158E-3</v>
      </c>
      <c r="BD61" s="10">
        <f t="shared" si="19"/>
        <v>9.7624069076283158E-3</v>
      </c>
      <c r="BE61" s="10">
        <f t="shared" si="19"/>
        <v>9.7624069076283158E-3</v>
      </c>
      <c r="BF61" s="10">
        <f t="shared" si="19"/>
        <v>9.7624069076283158E-3</v>
      </c>
      <c r="BG61" s="10">
        <f t="shared" si="19"/>
        <v>9.7624069076283158E-3</v>
      </c>
      <c r="BH61" s="10">
        <f t="shared" si="19"/>
        <v>9.7624069076283158E-3</v>
      </c>
      <c r="BI61" s="10">
        <f t="shared" si="19"/>
        <v>9.7624069076283158E-3</v>
      </c>
    </row>
    <row r="62" spans="1:61" ht="45">
      <c r="A62" s="8" t="str">
        <f t="shared" si="16"/>
        <v>Pociąg kontenerowy, intermodalny, 
trakcja elektryczna</v>
      </c>
      <c r="B62" s="110" t="s">
        <v>490</v>
      </c>
      <c r="C62" s="13"/>
      <c r="D62" s="13"/>
      <c r="E62" s="13"/>
      <c r="F62" s="13"/>
      <c r="G62" s="13"/>
      <c r="H62" s="13"/>
      <c r="I62" s="13"/>
      <c r="J62" s="13"/>
      <c r="K62" s="13"/>
      <c r="L62" s="13"/>
      <c r="M62" s="13"/>
      <c r="N62" s="13"/>
      <c r="O62" s="13"/>
      <c r="P62" s="13"/>
      <c r="Q62" s="78"/>
      <c r="R62" s="78"/>
      <c r="S62" s="10">
        <f>S48/$X$8</f>
        <v>6.2557837774200155E-3</v>
      </c>
      <c r="T62" s="10">
        <f t="shared" ref="T62:BI62" si="20">T48/$X$8</f>
        <v>6.3996668043006756E-3</v>
      </c>
      <c r="U62" s="10">
        <f t="shared" si="20"/>
        <v>6.6172554756468993E-3</v>
      </c>
      <c r="V62" s="10">
        <f t="shared" si="20"/>
        <v>6.9547355049048906E-3</v>
      </c>
      <c r="W62" s="10">
        <f t="shared" si="20"/>
        <v>7.9562174176111954E-3</v>
      </c>
      <c r="X62" s="10">
        <f t="shared" si="20"/>
        <v>8.8632262032188724E-3</v>
      </c>
      <c r="Y62" s="10">
        <f t="shared" si="20"/>
        <v>8.8632262032188724E-3</v>
      </c>
      <c r="Z62" s="10">
        <f t="shared" si="20"/>
        <v>8.8632262032188724E-3</v>
      </c>
      <c r="AA62" s="10">
        <f t="shared" si="20"/>
        <v>8.8632262032188724E-3</v>
      </c>
      <c r="AB62" s="10">
        <f t="shared" si="20"/>
        <v>8.8632262032188724E-3</v>
      </c>
      <c r="AC62" s="10">
        <f t="shared" si="20"/>
        <v>8.8632262032188724E-3</v>
      </c>
      <c r="AD62" s="10">
        <f t="shared" si="20"/>
        <v>8.8632262032188724E-3</v>
      </c>
      <c r="AE62" s="10">
        <f t="shared" si="20"/>
        <v>8.8632262032188724E-3</v>
      </c>
      <c r="AF62" s="10">
        <f t="shared" si="20"/>
        <v>8.8632262032188724E-3</v>
      </c>
      <c r="AG62" s="10">
        <f t="shared" si="20"/>
        <v>8.8632262032188724E-3</v>
      </c>
      <c r="AH62" s="10">
        <f t="shared" si="20"/>
        <v>8.8632262032188724E-3</v>
      </c>
      <c r="AI62" s="10">
        <f t="shared" si="20"/>
        <v>8.8632262032188724E-3</v>
      </c>
      <c r="AJ62" s="10">
        <f t="shared" si="20"/>
        <v>8.8632262032188724E-3</v>
      </c>
      <c r="AK62" s="10">
        <f t="shared" si="20"/>
        <v>8.8632262032188724E-3</v>
      </c>
      <c r="AL62" s="10">
        <f t="shared" si="20"/>
        <v>8.8632262032188724E-3</v>
      </c>
      <c r="AM62" s="10">
        <f t="shared" si="20"/>
        <v>8.8632262032188724E-3</v>
      </c>
      <c r="AN62" s="10">
        <f t="shared" si="20"/>
        <v>8.8632262032188724E-3</v>
      </c>
      <c r="AO62" s="10">
        <f t="shared" si="20"/>
        <v>8.8632262032188724E-3</v>
      </c>
      <c r="AP62" s="10">
        <f t="shared" si="20"/>
        <v>8.8632262032188724E-3</v>
      </c>
      <c r="AQ62" s="10">
        <f t="shared" si="20"/>
        <v>8.8632262032188724E-3</v>
      </c>
      <c r="AR62" s="10">
        <f t="shared" si="20"/>
        <v>8.8632262032188724E-3</v>
      </c>
      <c r="AS62" s="10">
        <f t="shared" si="20"/>
        <v>8.8632262032188724E-3</v>
      </c>
      <c r="AT62" s="10">
        <f t="shared" si="20"/>
        <v>8.8632262032188724E-3</v>
      </c>
      <c r="AU62" s="10">
        <f t="shared" si="20"/>
        <v>8.8632262032188724E-3</v>
      </c>
      <c r="AV62" s="10">
        <f t="shared" si="20"/>
        <v>8.8632262032188724E-3</v>
      </c>
      <c r="AW62" s="10">
        <f t="shared" si="20"/>
        <v>8.8632262032188724E-3</v>
      </c>
      <c r="AX62" s="10">
        <f t="shared" si="20"/>
        <v>8.8632262032188724E-3</v>
      </c>
      <c r="AY62" s="10">
        <f t="shared" si="20"/>
        <v>8.8632262032188724E-3</v>
      </c>
      <c r="AZ62" s="10">
        <f t="shared" si="20"/>
        <v>8.8632262032188724E-3</v>
      </c>
      <c r="BA62" s="10">
        <f t="shared" si="20"/>
        <v>8.8632262032188724E-3</v>
      </c>
      <c r="BB62" s="10">
        <f t="shared" si="20"/>
        <v>8.8632262032188724E-3</v>
      </c>
      <c r="BC62" s="10">
        <f t="shared" si="20"/>
        <v>8.8632262032188724E-3</v>
      </c>
      <c r="BD62" s="10">
        <f t="shared" si="20"/>
        <v>8.8632262032188724E-3</v>
      </c>
      <c r="BE62" s="10">
        <f t="shared" si="20"/>
        <v>8.8632262032188724E-3</v>
      </c>
      <c r="BF62" s="10">
        <f t="shared" si="20"/>
        <v>8.8632262032188724E-3</v>
      </c>
      <c r="BG62" s="10">
        <f t="shared" si="20"/>
        <v>8.8632262032188724E-3</v>
      </c>
      <c r="BH62" s="10">
        <f t="shared" si="20"/>
        <v>8.8632262032188724E-3</v>
      </c>
      <c r="BI62" s="10">
        <f t="shared" si="20"/>
        <v>8.8632262032188724E-3</v>
      </c>
    </row>
    <row r="63" spans="1:61" ht="45">
      <c r="A63" s="8" t="str">
        <f t="shared" si="16"/>
        <v>Pociąg kontenerowy, intermodalny, 
trakcja spalinowa</v>
      </c>
      <c r="B63" s="110" t="s">
        <v>490</v>
      </c>
      <c r="C63" s="13"/>
      <c r="D63" s="13"/>
      <c r="E63" s="13"/>
      <c r="F63" s="13"/>
      <c r="G63" s="13"/>
      <c r="H63" s="13"/>
      <c r="I63" s="13"/>
      <c r="J63" s="13"/>
      <c r="K63" s="13"/>
      <c r="L63" s="13"/>
      <c r="M63" s="13"/>
      <c r="N63" s="13"/>
      <c r="O63" s="13"/>
      <c r="P63" s="13"/>
      <c r="Q63" s="78"/>
      <c r="R63" s="78"/>
      <c r="S63" s="10">
        <f>S49/$Z$8</f>
        <v>8.4509046687410178E-3</v>
      </c>
      <c r="T63" s="10">
        <f t="shared" ref="T63:BI63" si="21">T49/$Z$8</f>
        <v>8.6452754761220611E-3</v>
      </c>
      <c r="U63" s="10">
        <f t="shared" si="21"/>
        <v>8.9392148423102103E-3</v>
      </c>
      <c r="V63" s="10">
        <f t="shared" si="21"/>
        <v>9.3951147992680315E-3</v>
      </c>
      <c r="W63" s="10">
        <f t="shared" si="21"/>
        <v>1.074801133036263E-2</v>
      </c>
      <c r="X63" s="10">
        <f t="shared" si="21"/>
        <v>1.1973284622023969E-2</v>
      </c>
      <c r="Y63" s="10">
        <f t="shared" si="21"/>
        <v>1.1973284622023969E-2</v>
      </c>
      <c r="Z63" s="10">
        <f t="shared" si="21"/>
        <v>1.1973284622023969E-2</v>
      </c>
      <c r="AA63" s="10">
        <f t="shared" si="21"/>
        <v>1.1973284622023969E-2</v>
      </c>
      <c r="AB63" s="10">
        <f t="shared" si="21"/>
        <v>1.1973284622023969E-2</v>
      </c>
      <c r="AC63" s="10">
        <f t="shared" si="21"/>
        <v>1.1973284622023969E-2</v>
      </c>
      <c r="AD63" s="10">
        <f t="shared" si="21"/>
        <v>1.1973284622023969E-2</v>
      </c>
      <c r="AE63" s="10">
        <f t="shared" si="21"/>
        <v>1.1973284622023969E-2</v>
      </c>
      <c r="AF63" s="10">
        <f t="shared" si="21"/>
        <v>1.1973284622023969E-2</v>
      </c>
      <c r="AG63" s="10">
        <f t="shared" si="21"/>
        <v>1.1973284622023969E-2</v>
      </c>
      <c r="AH63" s="10">
        <f t="shared" si="21"/>
        <v>1.1973284622023969E-2</v>
      </c>
      <c r="AI63" s="10">
        <f t="shared" si="21"/>
        <v>1.1973284622023969E-2</v>
      </c>
      <c r="AJ63" s="10">
        <f t="shared" si="21"/>
        <v>1.1973284622023969E-2</v>
      </c>
      <c r="AK63" s="10">
        <f t="shared" si="21"/>
        <v>1.1973284622023969E-2</v>
      </c>
      <c r="AL63" s="10">
        <f t="shared" si="21"/>
        <v>1.1973284622023969E-2</v>
      </c>
      <c r="AM63" s="10">
        <f t="shared" si="21"/>
        <v>1.1973284622023969E-2</v>
      </c>
      <c r="AN63" s="10">
        <f t="shared" si="21"/>
        <v>1.1973284622023969E-2</v>
      </c>
      <c r="AO63" s="10">
        <f t="shared" si="21"/>
        <v>1.1973284622023969E-2</v>
      </c>
      <c r="AP63" s="10">
        <f t="shared" si="21"/>
        <v>1.1973284622023969E-2</v>
      </c>
      <c r="AQ63" s="10">
        <f t="shared" si="21"/>
        <v>1.1973284622023969E-2</v>
      </c>
      <c r="AR63" s="10">
        <f t="shared" si="21"/>
        <v>1.1973284622023969E-2</v>
      </c>
      <c r="AS63" s="10">
        <f t="shared" si="21"/>
        <v>1.1973284622023969E-2</v>
      </c>
      <c r="AT63" s="10">
        <f t="shared" si="21"/>
        <v>1.1973284622023969E-2</v>
      </c>
      <c r="AU63" s="10">
        <f t="shared" si="21"/>
        <v>1.1973284622023969E-2</v>
      </c>
      <c r="AV63" s="10">
        <f t="shared" si="21"/>
        <v>1.1973284622023969E-2</v>
      </c>
      <c r="AW63" s="10">
        <f t="shared" si="21"/>
        <v>1.1973284622023969E-2</v>
      </c>
      <c r="AX63" s="10">
        <f t="shared" si="21"/>
        <v>1.1973284622023969E-2</v>
      </c>
      <c r="AY63" s="10">
        <f t="shared" si="21"/>
        <v>1.1973284622023969E-2</v>
      </c>
      <c r="AZ63" s="10">
        <f t="shared" si="21"/>
        <v>1.1973284622023969E-2</v>
      </c>
      <c r="BA63" s="10">
        <f t="shared" si="21"/>
        <v>1.1973284622023969E-2</v>
      </c>
      <c r="BB63" s="10">
        <f t="shared" si="21"/>
        <v>1.1973284622023969E-2</v>
      </c>
      <c r="BC63" s="10">
        <f t="shared" si="21"/>
        <v>1.1973284622023969E-2</v>
      </c>
      <c r="BD63" s="10">
        <f t="shared" si="21"/>
        <v>1.1973284622023969E-2</v>
      </c>
      <c r="BE63" s="10">
        <f t="shared" si="21"/>
        <v>1.1973284622023969E-2</v>
      </c>
      <c r="BF63" s="10">
        <f t="shared" si="21"/>
        <v>1.1973284622023969E-2</v>
      </c>
      <c r="BG63" s="10">
        <f t="shared" si="21"/>
        <v>1.1973284622023969E-2</v>
      </c>
      <c r="BH63" s="10">
        <f t="shared" si="21"/>
        <v>1.1973284622023969E-2</v>
      </c>
      <c r="BI63" s="10">
        <f t="shared" si="21"/>
        <v>1.1973284622023969E-2</v>
      </c>
    </row>
    <row r="64" spans="1:61" ht="15" customHeight="1"/>
  </sheetData>
  <mergeCells count="51">
    <mergeCell ref="P5:S5"/>
    <mergeCell ref="T5:W5"/>
    <mergeCell ref="X5:AA5"/>
    <mergeCell ref="P6:Q6"/>
    <mergeCell ref="R6:S6"/>
    <mergeCell ref="T6:U6"/>
    <mergeCell ref="V6:W6"/>
    <mergeCell ref="X6:Y6"/>
    <mergeCell ref="Z6:AA6"/>
    <mergeCell ref="Z8:AA8"/>
    <mergeCell ref="P7:Q7"/>
    <mergeCell ref="R7:S7"/>
    <mergeCell ref="T7:U7"/>
    <mergeCell ref="V7:W7"/>
    <mergeCell ref="X7:Y7"/>
    <mergeCell ref="Z7:AA7"/>
    <mergeCell ref="P8:Q8"/>
    <mergeCell ref="R8:S8"/>
    <mergeCell ref="T8:U8"/>
    <mergeCell ref="V8:W8"/>
    <mergeCell ref="X8:Y8"/>
    <mergeCell ref="Z10:AA10"/>
    <mergeCell ref="P9:Q9"/>
    <mergeCell ref="R9:S9"/>
    <mergeCell ref="T9:U9"/>
    <mergeCell ref="V9:W9"/>
    <mergeCell ref="X9:Y9"/>
    <mergeCell ref="Z9:AA9"/>
    <mergeCell ref="P10:Q10"/>
    <mergeCell ref="R10:S10"/>
    <mergeCell ref="T10:U10"/>
    <mergeCell ref="V10:W10"/>
    <mergeCell ref="X10:Y10"/>
    <mergeCell ref="X17:Y17"/>
    <mergeCell ref="Z17:AA17"/>
    <mergeCell ref="P15:S15"/>
    <mergeCell ref="T15:W15"/>
    <mergeCell ref="X15:AA15"/>
    <mergeCell ref="P16:Q16"/>
    <mergeCell ref="R16:S16"/>
    <mergeCell ref="T16:U16"/>
    <mergeCell ref="V16:W16"/>
    <mergeCell ref="X16:Y16"/>
    <mergeCell ref="Z16:AA16"/>
    <mergeCell ref="A39:V40"/>
    <mergeCell ref="A42:A43"/>
    <mergeCell ref="P17:Q17"/>
    <mergeCell ref="R17:S17"/>
    <mergeCell ref="T17:U17"/>
    <mergeCell ref="V17:W17"/>
    <mergeCell ref="A30:V31"/>
  </mergeCells>
  <hyperlinks>
    <hyperlink ref="A32" location="Indeksacja!A29" display="Nota metodologiczn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255"/>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0" defaultRowHeight="15" zeroHeight="1" outlineLevelRow="1" outlineLevelCol="1"/>
  <cols>
    <col min="1" max="1" width="30.7109375" customWidth="1"/>
    <col min="2" max="2" width="9.140625" customWidth="1"/>
    <col min="3" max="15" width="1.7109375" hidden="1" customWidth="1" outlineLevel="1"/>
    <col min="16" max="16" width="9.140625" customWidth="1" collapsed="1"/>
    <col min="17" max="18" width="9.140625" customWidth="1"/>
    <col min="19" max="19" width="13.7109375" customWidth="1"/>
    <col min="20" max="20" width="12.7109375" customWidth="1"/>
    <col min="21" max="25" width="13.7109375" customWidth="1"/>
    <col min="26" max="62" width="9.140625" customWidth="1"/>
    <col min="63" max="16384" width="9.140625" hidden="1"/>
  </cols>
  <sheetData>
    <row r="1" spans="1:62" ht="21">
      <c r="A1" s="4" t="s">
        <v>29</v>
      </c>
      <c r="B1" s="5"/>
      <c r="C1" s="88"/>
      <c r="D1" s="88"/>
      <c r="E1" s="88"/>
      <c r="F1" s="88"/>
      <c r="G1" s="88"/>
      <c r="H1" s="88"/>
      <c r="I1" s="88"/>
      <c r="J1" s="88"/>
      <c r="K1" s="88"/>
      <c r="L1" s="5"/>
      <c r="M1" s="88"/>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row>
    <row r="2" spans="1:62">
      <c r="A2" s="311" t="str">
        <f>Indeksacja!$A$2</f>
        <v>Dla roku bazowego 2024 właściwe do zastosowania w analizie są wartości kosztów jednostkowych określone według poziomu cenowego z końca roku poprzedniego, tzn. 2023.</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311"/>
      <c r="AW2" s="311"/>
      <c r="AX2" s="311"/>
      <c r="AY2" s="311"/>
      <c r="AZ2" s="311"/>
      <c r="BA2" s="311"/>
      <c r="BB2" s="311"/>
      <c r="BC2" s="311"/>
      <c r="BD2" s="311"/>
      <c r="BE2" s="311"/>
      <c r="BF2" s="311"/>
      <c r="BG2" s="311"/>
      <c r="BH2" s="311"/>
      <c r="BI2" s="311"/>
    </row>
    <row r="3" spans="1:62">
      <c r="A3" s="311"/>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c r="AP3" s="311"/>
      <c r="AQ3" s="311"/>
      <c r="AR3" s="311"/>
      <c r="AS3" s="311"/>
      <c r="AT3" s="311"/>
      <c r="AU3" s="311"/>
      <c r="AV3" s="311"/>
      <c r="AW3" s="311"/>
      <c r="AX3" s="311"/>
      <c r="AY3" s="311"/>
      <c r="AZ3" s="311"/>
      <c r="BA3" s="311"/>
      <c r="BB3" s="311"/>
      <c r="BC3" s="311"/>
      <c r="BD3" s="311"/>
      <c r="BE3" s="311"/>
      <c r="BF3" s="311"/>
      <c r="BG3" s="311"/>
      <c r="BH3" s="311"/>
      <c r="BI3" s="311"/>
    </row>
    <row r="4" spans="1:62">
      <c r="A4" s="187" t="str">
        <f>'VOC eksploatacja samochody'!$A$4</f>
        <v>Prognoza zmian struktury floty pojazdów drogowych w Polsce pod względem rodzaju paliwa</v>
      </c>
      <c r="B4" s="311"/>
      <c r="C4" s="311"/>
      <c r="D4" s="311"/>
      <c r="E4" s="311"/>
      <c r="F4" s="311"/>
      <c r="G4" s="311"/>
      <c r="H4" s="311"/>
      <c r="I4" s="311"/>
      <c r="J4" s="311"/>
      <c r="K4" s="311"/>
      <c r="L4" s="311"/>
      <c r="M4" s="311"/>
      <c r="N4" s="311"/>
      <c r="O4" s="311"/>
      <c r="P4" s="311"/>
      <c r="Q4" s="311"/>
      <c r="R4" s="311"/>
      <c r="S4" s="311"/>
      <c r="U4" s="311"/>
      <c r="V4" s="311"/>
      <c r="W4" s="311"/>
      <c r="X4" s="311"/>
      <c r="Y4" s="311"/>
      <c r="Z4" s="311"/>
      <c r="AA4" s="311"/>
      <c r="AB4" s="311"/>
      <c r="AC4" s="311"/>
      <c r="AD4" s="311"/>
      <c r="AF4" s="311"/>
      <c r="AG4" s="311"/>
      <c r="AH4" s="311"/>
      <c r="AI4" s="311"/>
      <c r="AJ4" s="311"/>
      <c r="AK4" s="311"/>
      <c r="AL4" s="311"/>
      <c r="AM4" s="311"/>
      <c r="AN4" s="311"/>
      <c r="AO4" s="311"/>
      <c r="AP4" s="311"/>
      <c r="AQ4" s="311"/>
      <c r="AR4" s="311"/>
      <c r="AS4" s="311"/>
      <c r="AT4" s="311"/>
      <c r="AU4" s="311"/>
      <c r="AV4" s="311"/>
      <c r="AW4" s="311"/>
      <c r="AX4" s="311"/>
      <c r="AZ4" s="311"/>
      <c r="BA4" s="311"/>
      <c r="BB4" s="311"/>
      <c r="BC4" s="311"/>
      <c r="BD4" s="311"/>
      <c r="BE4" s="311"/>
      <c r="BF4" s="311"/>
      <c r="BG4" s="311"/>
      <c r="BH4" s="311"/>
      <c r="BI4" s="311"/>
    </row>
    <row r="5" spans="1:62">
      <c r="A5" s="311"/>
      <c r="B5" s="311"/>
      <c r="C5" s="311"/>
      <c r="D5" s="311"/>
      <c r="E5" s="311"/>
      <c r="F5" s="311"/>
      <c r="G5" s="311"/>
      <c r="H5" s="311"/>
      <c r="I5" s="311"/>
      <c r="J5" s="311"/>
      <c r="K5" s="311"/>
      <c r="L5" s="311"/>
      <c r="M5" s="311"/>
      <c r="N5" s="311"/>
      <c r="O5" s="311"/>
      <c r="P5" s="311"/>
      <c r="Q5" s="311"/>
      <c r="R5" s="311"/>
      <c r="S5" s="311"/>
      <c r="U5" s="311"/>
      <c r="V5" s="311"/>
      <c r="W5" s="311"/>
      <c r="X5" s="311"/>
      <c r="Y5" s="311"/>
      <c r="Z5" s="311"/>
      <c r="AA5" s="311"/>
      <c r="AB5" s="311"/>
      <c r="AC5" s="311"/>
      <c r="AD5" s="311"/>
      <c r="AF5" s="311"/>
      <c r="AG5" s="35"/>
      <c r="AH5" s="311"/>
      <c r="AI5" s="311"/>
      <c r="AJ5" s="311"/>
      <c r="AK5" s="311"/>
      <c r="AL5" s="311"/>
      <c r="AM5" s="311"/>
      <c r="AN5" s="311"/>
      <c r="AO5" s="311"/>
      <c r="AP5" s="311"/>
      <c r="AQ5" s="311"/>
      <c r="AR5" s="311"/>
      <c r="AS5" s="311"/>
      <c r="AT5" s="311"/>
      <c r="AU5" s="311"/>
      <c r="AV5" s="311"/>
      <c r="AW5" s="311"/>
      <c r="AX5" s="311"/>
      <c r="AZ5" s="311"/>
      <c r="BA5" s="311"/>
      <c r="BB5" s="311"/>
      <c r="BC5" s="311"/>
      <c r="BD5" s="311"/>
      <c r="BE5" s="311"/>
      <c r="BF5" s="311"/>
      <c r="BG5" s="311"/>
      <c r="BH5" s="311"/>
      <c r="BI5" s="311"/>
    </row>
    <row r="6" spans="1:62">
      <c r="A6" s="166" t="str">
        <f>'VOC eksploatacja samochody'!$A$48</f>
        <v>Struktura floty pojazdów LV</v>
      </c>
      <c r="B6" s="311"/>
      <c r="C6" s="311"/>
      <c r="D6" s="311"/>
      <c r="E6" s="311"/>
      <c r="F6" s="311"/>
      <c r="G6" s="311"/>
      <c r="H6" s="311"/>
      <c r="I6" s="311"/>
      <c r="J6" s="311"/>
      <c r="K6" s="311"/>
      <c r="L6" s="311"/>
      <c r="M6" s="311"/>
      <c r="N6" s="311"/>
      <c r="O6" s="311"/>
      <c r="P6" s="311"/>
      <c r="Q6" s="311"/>
      <c r="R6" s="311"/>
      <c r="S6" s="311"/>
    </row>
    <row r="7" spans="1:62">
      <c r="A7" s="9" t="s">
        <v>72</v>
      </c>
      <c r="B7" s="663" t="s">
        <v>0</v>
      </c>
      <c r="C7" s="2"/>
      <c r="D7" s="2"/>
      <c r="E7" s="2"/>
      <c r="F7" s="2"/>
      <c r="G7" s="2"/>
      <c r="H7" s="2"/>
      <c r="I7" s="2"/>
      <c r="J7" s="2"/>
      <c r="K7" s="2"/>
      <c r="L7" s="2"/>
      <c r="M7" s="2"/>
      <c r="N7" s="2"/>
      <c r="O7" s="2"/>
      <c r="P7" s="2"/>
      <c r="Q7" s="6"/>
      <c r="R7" s="6"/>
      <c r="S7" s="6"/>
      <c r="T7" s="6">
        <v>2019</v>
      </c>
      <c r="U7" s="6">
        <f t="shared" ref="U7:BJ7" si="0">T7+1</f>
        <v>2020</v>
      </c>
      <c r="V7" s="6">
        <f t="shared" si="0"/>
        <v>2021</v>
      </c>
      <c r="W7" s="6">
        <f t="shared" si="0"/>
        <v>2022</v>
      </c>
      <c r="X7" s="6">
        <f t="shared" si="0"/>
        <v>2023</v>
      </c>
      <c r="Y7" s="6">
        <f t="shared" si="0"/>
        <v>2024</v>
      </c>
      <c r="Z7" s="6">
        <f t="shared" si="0"/>
        <v>2025</v>
      </c>
      <c r="AA7" s="6">
        <f t="shared" si="0"/>
        <v>2026</v>
      </c>
      <c r="AB7" s="6">
        <f t="shared" si="0"/>
        <v>2027</v>
      </c>
      <c r="AC7" s="6">
        <f t="shared" si="0"/>
        <v>2028</v>
      </c>
      <c r="AD7" s="6">
        <f t="shared" si="0"/>
        <v>2029</v>
      </c>
      <c r="AE7" s="6">
        <f t="shared" si="0"/>
        <v>2030</v>
      </c>
      <c r="AF7" s="6">
        <f t="shared" si="0"/>
        <v>2031</v>
      </c>
      <c r="AG7" s="6">
        <f t="shared" si="0"/>
        <v>2032</v>
      </c>
      <c r="AH7" s="6">
        <f t="shared" si="0"/>
        <v>2033</v>
      </c>
      <c r="AI7" s="6">
        <f t="shared" si="0"/>
        <v>2034</v>
      </c>
      <c r="AJ7" s="6">
        <f t="shared" si="0"/>
        <v>2035</v>
      </c>
      <c r="AK7" s="6">
        <f t="shared" si="0"/>
        <v>2036</v>
      </c>
      <c r="AL7" s="6">
        <f t="shared" si="0"/>
        <v>2037</v>
      </c>
      <c r="AM7" s="6">
        <f t="shared" si="0"/>
        <v>2038</v>
      </c>
      <c r="AN7" s="6">
        <f t="shared" si="0"/>
        <v>2039</v>
      </c>
      <c r="AO7" s="6">
        <f t="shared" si="0"/>
        <v>2040</v>
      </c>
      <c r="AP7" s="6">
        <f t="shared" si="0"/>
        <v>2041</v>
      </c>
      <c r="AQ7" s="6">
        <f t="shared" si="0"/>
        <v>2042</v>
      </c>
      <c r="AR7" s="6">
        <f t="shared" si="0"/>
        <v>2043</v>
      </c>
      <c r="AS7" s="6">
        <f t="shared" si="0"/>
        <v>2044</v>
      </c>
      <c r="AT7" s="6">
        <f t="shared" si="0"/>
        <v>2045</v>
      </c>
      <c r="AU7" s="6">
        <f t="shared" si="0"/>
        <v>2046</v>
      </c>
      <c r="AV7" s="6">
        <f t="shared" si="0"/>
        <v>2047</v>
      </c>
      <c r="AW7" s="6">
        <f t="shared" si="0"/>
        <v>2048</v>
      </c>
      <c r="AX7" s="6">
        <f t="shared" si="0"/>
        <v>2049</v>
      </c>
      <c r="AY7" s="6">
        <f t="shared" si="0"/>
        <v>2050</v>
      </c>
      <c r="AZ7" s="6">
        <f t="shared" si="0"/>
        <v>2051</v>
      </c>
      <c r="BA7" s="6">
        <f t="shared" si="0"/>
        <v>2052</v>
      </c>
      <c r="BB7" s="6">
        <f t="shared" si="0"/>
        <v>2053</v>
      </c>
      <c r="BC7" s="6">
        <f t="shared" si="0"/>
        <v>2054</v>
      </c>
      <c r="BD7" s="6">
        <f t="shared" si="0"/>
        <v>2055</v>
      </c>
      <c r="BE7" s="6">
        <f t="shared" si="0"/>
        <v>2056</v>
      </c>
      <c r="BF7" s="6">
        <f t="shared" si="0"/>
        <v>2057</v>
      </c>
      <c r="BG7" s="6">
        <f t="shared" si="0"/>
        <v>2058</v>
      </c>
      <c r="BH7" s="6">
        <f t="shared" si="0"/>
        <v>2059</v>
      </c>
      <c r="BI7" s="6">
        <f t="shared" si="0"/>
        <v>2060</v>
      </c>
      <c r="BJ7" s="6">
        <f t="shared" si="0"/>
        <v>2061</v>
      </c>
    </row>
    <row r="8" spans="1:62">
      <c r="A8" s="155" t="s">
        <v>583</v>
      </c>
      <c r="B8" s="170"/>
      <c r="C8" s="170"/>
      <c r="D8" s="170"/>
      <c r="E8" s="170"/>
      <c r="F8" s="170"/>
      <c r="G8" s="170"/>
      <c r="H8" s="170"/>
      <c r="I8" s="170"/>
      <c r="J8" s="170"/>
      <c r="K8" s="170"/>
      <c r="L8" s="170"/>
      <c r="M8" s="170"/>
      <c r="N8" s="170"/>
      <c r="O8" s="170"/>
      <c r="P8" s="170"/>
      <c r="Q8" s="170"/>
      <c r="R8" s="170"/>
      <c r="S8" s="171"/>
      <c r="T8" s="172">
        <f>'VOC eksploatacja samochody'!T50</f>
        <v>1</v>
      </c>
      <c r="U8" s="173">
        <f>'VOC eksploatacja samochody'!U50</f>
        <v>0.99290909090909085</v>
      </c>
      <c r="V8" s="169">
        <f>'VOC eksploatacja samochody'!V50</f>
        <v>0.9858181818181817</v>
      </c>
      <c r="W8" s="169">
        <f>'VOC eksploatacja samochody'!W50</f>
        <v>0.97872727272727256</v>
      </c>
      <c r="X8" s="169">
        <f>'VOC eksploatacja samochody'!X50</f>
        <v>0.97163636363636341</v>
      </c>
      <c r="Y8" s="169">
        <f>'VOC eksploatacja samochody'!Y50</f>
        <v>0.96454545454545426</v>
      </c>
      <c r="Z8" s="169">
        <f>'VOC eksploatacja samochody'!Z50</f>
        <v>0.95745454545454511</v>
      </c>
      <c r="AA8" s="169">
        <f>'VOC eksploatacja samochody'!AA50</f>
        <v>0.95036363636363597</v>
      </c>
      <c r="AB8" s="169">
        <f>'VOC eksploatacja samochody'!AB50</f>
        <v>0.94327272727272682</v>
      </c>
      <c r="AC8" s="169">
        <f>'VOC eksploatacja samochody'!AC50</f>
        <v>0.93618181818181767</v>
      </c>
      <c r="AD8" s="169">
        <f>'VOC eksploatacja samochody'!AD50</f>
        <v>0.92909090909090852</v>
      </c>
      <c r="AE8" s="172">
        <f>'VOC eksploatacja samochody'!AE50</f>
        <v>0.92199999999999993</v>
      </c>
      <c r="AF8" s="169">
        <f>'VOC eksploatacja samochody'!AF50</f>
        <v>0.90934999999999988</v>
      </c>
      <c r="AG8" s="169">
        <f>'VOC eksploatacja samochody'!AG50</f>
        <v>0.89669999999999983</v>
      </c>
      <c r="AH8" s="169">
        <f>'VOC eksploatacja samochody'!AH50</f>
        <v>0.88404999999999978</v>
      </c>
      <c r="AI8" s="169">
        <f>'VOC eksploatacja samochody'!AI50</f>
        <v>0.87139999999999973</v>
      </c>
      <c r="AJ8" s="169">
        <f>'VOC eksploatacja samochody'!AJ50</f>
        <v>0.85874999999999968</v>
      </c>
      <c r="AK8" s="169">
        <f>'VOC eksploatacja samochody'!AK50</f>
        <v>0.84609999999999963</v>
      </c>
      <c r="AL8" s="169">
        <f>'VOC eksploatacja samochody'!AL50</f>
        <v>0.83344999999999958</v>
      </c>
      <c r="AM8" s="169">
        <f>'VOC eksploatacja samochody'!AM50</f>
        <v>0.82079999999999953</v>
      </c>
      <c r="AN8" s="169">
        <f>'VOC eksploatacja samochody'!AN50</f>
        <v>0.80814999999999948</v>
      </c>
      <c r="AO8" s="169">
        <f>'VOC eksploatacja samochody'!AO50</f>
        <v>0.79549999999999943</v>
      </c>
      <c r="AP8" s="169">
        <f>'VOC eksploatacja samochody'!AP50</f>
        <v>0.78284999999999938</v>
      </c>
      <c r="AQ8" s="169">
        <f>'VOC eksploatacja samochody'!AQ50</f>
        <v>0.77019999999999933</v>
      </c>
      <c r="AR8" s="169">
        <f>'VOC eksploatacja samochody'!AR50</f>
        <v>0.75754999999999928</v>
      </c>
      <c r="AS8" s="169">
        <f>'VOC eksploatacja samochody'!AS50</f>
        <v>0.74489999999999923</v>
      </c>
      <c r="AT8" s="169">
        <f>'VOC eksploatacja samochody'!AT50</f>
        <v>0.73224999999999918</v>
      </c>
      <c r="AU8" s="169">
        <f>'VOC eksploatacja samochody'!AU50</f>
        <v>0.71959999999999913</v>
      </c>
      <c r="AV8" s="169">
        <f>'VOC eksploatacja samochody'!AV50</f>
        <v>0.70694999999999908</v>
      </c>
      <c r="AW8" s="169">
        <f>'VOC eksploatacja samochody'!AW50</f>
        <v>0.69429999999999903</v>
      </c>
      <c r="AX8" s="169">
        <f>'VOC eksploatacja samochody'!AX50</f>
        <v>0.68164999999999898</v>
      </c>
      <c r="AY8" s="172">
        <f>'VOC eksploatacja samochody'!AY50</f>
        <v>0.66900000000000004</v>
      </c>
      <c r="AZ8" s="169">
        <f>'VOC eksploatacja samochody'!AZ50</f>
        <v>0.66900000000000004</v>
      </c>
      <c r="BA8" s="169">
        <f>'VOC eksploatacja samochody'!BA50</f>
        <v>0.66900000000000004</v>
      </c>
      <c r="BB8" s="169">
        <f>'VOC eksploatacja samochody'!BB50</f>
        <v>0.66900000000000004</v>
      </c>
      <c r="BC8" s="169">
        <f>'VOC eksploatacja samochody'!BC50</f>
        <v>0.66900000000000004</v>
      </c>
      <c r="BD8" s="169">
        <f>'VOC eksploatacja samochody'!BD50</f>
        <v>0.66900000000000004</v>
      </c>
      <c r="BE8" s="169">
        <f>'VOC eksploatacja samochody'!BE50</f>
        <v>0.66900000000000004</v>
      </c>
      <c r="BF8" s="169">
        <f>'VOC eksploatacja samochody'!BF50</f>
        <v>0.66900000000000004</v>
      </c>
      <c r="BG8" s="169">
        <f>'VOC eksploatacja samochody'!BG50</f>
        <v>0.66900000000000004</v>
      </c>
      <c r="BH8" s="169">
        <f>'VOC eksploatacja samochody'!BH50</f>
        <v>0.66900000000000004</v>
      </c>
      <c r="BI8" s="169">
        <f>'VOC eksploatacja samochody'!BI50</f>
        <v>0.66900000000000004</v>
      </c>
      <c r="BJ8" s="169">
        <f>'VOC eksploatacja samochody'!BJ50</f>
        <v>0.66900000000000004</v>
      </c>
    </row>
    <row r="9" spans="1:62">
      <c r="A9" s="206" t="s">
        <v>581</v>
      </c>
      <c r="B9" s="201"/>
      <c r="C9" s="201"/>
      <c r="D9" s="201"/>
      <c r="E9" s="201"/>
      <c r="F9" s="201"/>
      <c r="G9" s="201"/>
      <c r="H9" s="201"/>
      <c r="I9" s="201"/>
      <c r="J9" s="201"/>
      <c r="K9" s="201"/>
      <c r="L9" s="201"/>
      <c r="M9" s="201"/>
      <c r="N9" s="201"/>
      <c r="O9" s="201"/>
      <c r="P9" s="201"/>
      <c r="Q9" s="201"/>
      <c r="R9" s="201"/>
      <c r="S9" s="202"/>
      <c r="T9" s="211">
        <f>'VOC eksploatacja samochody'!T51</f>
        <v>0.67903598504544949</v>
      </c>
      <c r="U9" s="204">
        <f>'VOC eksploatacja samochody'!U51</f>
        <v>0.67621453185949953</v>
      </c>
      <c r="V9" s="205">
        <f>'VOC eksploatacja samochody'!V51</f>
        <v>0.67339307867354958</v>
      </c>
      <c r="W9" s="205">
        <f>'VOC eksploatacja samochody'!W51</f>
        <v>0.67057162548759963</v>
      </c>
      <c r="X9" s="205">
        <f>'VOC eksploatacja samochody'!X51</f>
        <v>0.66775017230164968</v>
      </c>
      <c r="Y9" s="205">
        <f>'VOC eksploatacja samochody'!Y51</f>
        <v>0.66492871911569973</v>
      </c>
      <c r="Z9" s="205">
        <f>'VOC eksploatacja samochody'!Z51</f>
        <v>0.66210726592974978</v>
      </c>
      <c r="AA9" s="205">
        <f>'VOC eksploatacja samochody'!AA51</f>
        <v>0.65928581274379983</v>
      </c>
      <c r="AB9" s="205">
        <f>'VOC eksploatacja samochody'!AB51</f>
        <v>0.65646435955784987</v>
      </c>
      <c r="AC9" s="205">
        <f>'VOC eksploatacja samochody'!AC51</f>
        <v>0.65364290637189992</v>
      </c>
      <c r="AD9" s="205">
        <f>'VOC eksploatacja samochody'!AD51</f>
        <v>0.65082145318594997</v>
      </c>
      <c r="AE9" s="211">
        <f>'VOC eksploatacja samochody'!AE51</f>
        <v>0.64799999999999991</v>
      </c>
      <c r="AF9" s="205">
        <f>'VOC eksploatacja samochody'!AF51</f>
        <v>0.64039999999999986</v>
      </c>
      <c r="AG9" s="205">
        <f>'VOC eksploatacja samochody'!AG51</f>
        <v>0.63279999999999981</v>
      </c>
      <c r="AH9" s="205">
        <f>'VOC eksploatacja samochody'!AH51</f>
        <v>0.62519999999999976</v>
      </c>
      <c r="AI9" s="205">
        <f>'VOC eksploatacja samochody'!AI51</f>
        <v>0.6175999999999997</v>
      </c>
      <c r="AJ9" s="205">
        <f>'VOC eksploatacja samochody'!AJ51</f>
        <v>0.60999999999999965</v>
      </c>
      <c r="AK9" s="205">
        <f>'VOC eksploatacja samochody'!AK51</f>
        <v>0.6023999999999996</v>
      </c>
      <c r="AL9" s="205">
        <f>'VOC eksploatacja samochody'!AL51</f>
        <v>0.59479999999999955</v>
      </c>
      <c r="AM9" s="205">
        <f>'VOC eksploatacja samochody'!AM51</f>
        <v>0.5871999999999995</v>
      </c>
      <c r="AN9" s="205">
        <f>'VOC eksploatacja samochody'!AN51</f>
        <v>0.57959999999999945</v>
      </c>
      <c r="AO9" s="205">
        <f>'VOC eksploatacja samochody'!AO51</f>
        <v>0.5719999999999994</v>
      </c>
      <c r="AP9" s="205">
        <f>'VOC eksploatacja samochody'!AP51</f>
        <v>0.56439999999999935</v>
      </c>
      <c r="AQ9" s="205">
        <f>'VOC eksploatacja samochody'!AQ51</f>
        <v>0.5567999999999993</v>
      </c>
      <c r="AR9" s="205">
        <f>'VOC eksploatacja samochody'!AR51</f>
        <v>0.54919999999999924</v>
      </c>
      <c r="AS9" s="205">
        <f>'VOC eksploatacja samochody'!AS51</f>
        <v>0.54159999999999919</v>
      </c>
      <c r="AT9" s="205">
        <f>'VOC eksploatacja samochody'!AT51</f>
        <v>0.53399999999999914</v>
      </c>
      <c r="AU9" s="205">
        <f>'VOC eksploatacja samochody'!AU51</f>
        <v>0.52639999999999909</v>
      </c>
      <c r="AV9" s="205">
        <f>'VOC eksploatacja samochody'!AV51</f>
        <v>0.51879999999999904</v>
      </c>
      <c r="AW9" s="205">
        <f>'VOC eksploatacja samochody'!AW51</f>
        <v>0.51119999999999899</v>
      </c>
      <c r="AX9" s="205">
        <f>'VOC eksploatacja samochody'!AX51</f>
        <v>0.50359999999999894</v>
      </c>
      <c r="AY9" s="211">
        <f>'VOC eksploatacja samochody'!AY51</f>
        <v>0.496</v>
      </c>
      <c r="AZ9" s="205">
        <f>'VOC eksploatacja samochody'!AZ51</f>
        <v>0.496</v>
      </c>
      <c r="BA9" s="205">
        <f>'VOC eksploatacja samochody'!BA51</f>
        <v>0.496</v>
      </c>
      <c r="BB9" s="205">
        <f>'VOC eksploatacja samochody'!BB51</f>
        <v>0.496</v>
      </c>
      <c r="BC9" s="205">
        <f>'VOC eksploatacja samochody'!BC51</f>
        <v>0.496</v>
      </c>
      <c r="BD9" s="205">
        <f>'VOC eksploatacja samochody'!BD51</f>
        <v>0.496</v>
      </c>
      <c r="BE9" s="205">
        <f>'VOC eksploatacja samochody'!BE51</f>
        <v>0.496</v>
      </c>
      <c r="BF9" s="205">
        <f>'VOC eksploatacja samochody'!BF51</f>
        <v>0.496</v>
      </c>
      <c r="BG9" s="205">
        <f>'VOC eksploatacja samochody'!BG51</f>
        <v>0.496</v>
      </c>
      <c r="BH9" s="205">
        <f>'VOC eksploatacja samochody'!BH51</f>
        <v>0.496</v>
      </c>
      <c r="BI9" s="205">
        <f>'VOC eksploatacja samochody'!BI51</f>
        <v>0.496</v>
      </c>
      <c r="BJ9" s="205">
        <f>'VOC eksploatacja samochody'!BJ51</f>
        <v>0.496</v>
      </c>
    </row>
    <row r="10" spans="1:62">
      <c r="A10" s="206" t="s">
        <v>73</v>
      </c>
      <c r="B10" s="201"/>
      <c r="C10" s="201"/>
      <c r="D10" s="201"/>
      <c r="E10" s="201"/>
      <c r="F10" s="201"/>
      <c r="G10" s="201"/>
      <c r="H10" s="201"/>
      <c r="I10" s="201"/>
      <c r="J10" s="201"/>
      <c r="K10" s="201"/>
      <c r="L10" s="201"/>
      <c r="M10" s="201"/>
      <c r="N10" s="201"/>
      <c r="O10" s="201"/>
      <c r="P10" s="201"/>
      <c r="Q10" s="201"/>
      <c r="R10" s="201"/>
      <c r="S10" s="202"/>
      <c r="T10" s="211">
        <f>'VOC eksploatacja samochody'!T52</f>
        <v>0.32096401495455057</v>
      </c>
      <c r="U10" s="204">
        <f>'VOC eksploatacja samochody'!U52</f>
        <v>0.31669455904959143</v>
      </c>
      <c r="V10" s="205">
        <f>'VOC eksploatacja samochody'!V52</f>
        <v>0.31242510314463229</v>
      </c>
      <c r="W10" s="205">
        <f>'VOC eksploatacja samochody'!W52</f>
        <v>0.30815564723967315</v>
      </c>
      <c r="X10" s="205">
        <f>'VOC eksploatacja samochody'!X52</f>
        <v>0.30388619133471401</v>
      </c>
      <c r="Y10" s="205">
        <f>'VOC eksploatacja samochody'!Y52</f>
        <v>0.29961673542975487</v>
      </c>
      <c r="Z10" s="205">
        <f>'VOC eksploatacja samochody'!Z52</f>
        <v>0.29534727952479572</v>
      </c>
      <c r="AA10" s="205">
        <f>'VOC eksploatacja samochody'!AA52</f>
        <v>0.29107782361983658</v>
      </c>
      <c r="AB10" s="205">
        <f>'VOC eksploatacja samochody'!AB52</f>
        <v>0.28680836771487744</v>
      </c>
      <c r="AC10" s="205">
        <f>'VOC eksploatacja samochody'!AC52</f>
        <v>0.2825389118099183</v>
      </c>
      <c r="AD10" s="205">
        <f>'VOC eksploatacja samochody'!AD52</f>
        <v>0.27826945590495916</v>
      </c>
      <c r="AE10" s="211">
        <f>'VOC eksploatacja samochody'!AE52</f>
        <v>0.27400000000000002</v>
      </c>
      <c r="AF10" s="205">
        <f>'VOC eksploatacja samochody'!AF52</f>
        <v>0.26895000000000002</v>
      </c>
      <c r="AG10" s="205">
        <f>'VOC eksploatacja samochody'!AG52</f>
        <v>0.26390000000000002</v>
      </c>
      <c r="AH10" s="205">
        <f>'VOC eksploatacja samochody'!AH52</f>
        <v>0.25885000000000002</v>
      </c>
      <c r="AI10" s="205">
        <f>'VOC eksploatacja samochody'!AI52</f>
        <v>0.25380000000000003</v>
      </c>
      <c r="AJ10" s="205">
        <f>'VOC eksploatacja samochody'!AJ52</f>
        <v>0.24875000000000003</v>
      </c>
      <c r="AK10" s="205">
        <f>'VOC eksploatacja samochody'!AK52</f>
        <v>0.24370000000000003</v>
      </c>
      <c r="AL10" s="205">
        <f>'VOC eksploatacja samochody'!AL52</f>
        <v>0.23865000000000003</v>
      </c>
      <c r="AM10" s="205">
        <f>'VOC eksploatacja samochody'!AM52</f>
        <v>0.23360000000000003</v>
      </c>
      <c r="AN10" s="205">
        <f>'VOC eksploatacja samochody'!AN52</f>
        <v>0.22855000000000003</v>
      </c>
      <c r="AO10" s="205">
        <f>'VOC eksploatacja samochody'!AO52</f>
        <v>0.22350000000000003</v>
      </c>
      <c r="AP10" s="205">
        <f>'VOC eksploatacja samochody'!AP52</f>
        <v>0.21845000000000003</v>
      </c>
      <c r="AQ10" s="205">
        <f>'VOC eksploatacja samochody'!AQ52</f>
        <v>0.21340000000000003</v>
      </c>
      <c r="AR10" s="205">
        <f>'VOC eksploatacja samochody'!AR52</f>
        <v>0.20835000000000004</v>
      </c>
      <c r="AS10" s="205">
        <f>'VOC eksploatacja samochody'!AS52</f>
        <v>0.20330000000000004</v>
      </c>
      <c r="AT10" s="205">
        <f>'VOC eksploatacja samochody'!AT52</f>
        <v>0.19825000000000004</v>
      </c>
      <c r="AU10" s="205">
        <f>'VOC eksploatacja samochody'!AU52</f>
        <v>0.19320000000000004</v>
      </c>
      <c r="AV10" s="205">
        <f>'VOC eksploatacja samochody'!AV52</f>
        <v>0.18815000000000004</v>
      </c>
      <c r="AW10" s="205">
        <f>'VOC eksploatacja samochody'!AW52</f>
        <v>0.18310000000000004</v>
      </c>
      <c r="AX10" s="205">
        <f>'VOC eksploatacja samochody'!AX52</f>
        <v>0.17805000000000004</v>
      </c>
      <c r="AY10" s="211">
        <f>'VOC eksploatacja samochody'!AY52</f>
        <v>0.17299999999999999</v>
      </c>
      <c r="AZ10" s="205">
        <f>'VOC eksploatacja samochody'!AZ52</f>
        <v>0.17299999999999999</v>
      </c>
      <c r="BA10" s="205">
        <f>'VOC eksploatacja samochody'!BA52</f>
        <v>0.17299999999999999</v>
      </c>
      <c r="BB10" s="205">
        <f>'VOC eksploatacja samochody'!BB52</f>
        <v>0.17299999999999999</v>
      </c>
      <c r="BC10" s="205">
        <f>'VOC eksploatacja samochody'!BC52</f>
        <v>0.17299999999999999</v>
      </c>
      <c r="BD10" s="205">
        <f>'VOC eksploatacja samochody'!BD52</f>
        <v>0.17299999999999999</v>
      </c>
      <c r="BE10" s="205">
        <f>'VOC eksploatacja samochody'!BE52</f>
        <v>0.17299999999999999</v>
      </c>
      <c r="BF10" s="205">
        <f>'VOC eksploatacja samochody'!BF52</f>
        <v>0.17299999999999999</v>
      </c>
      <c r="BG10" s="205">
        <f>'VOC eksploatacja samochody'!BG52</f>
        <v>0.17299999999999999</v>
      </c>
      <c r="BH10" s="205">
        <f>'VOC eksploatacja samochody'!BH52</f>
        <v>0.17299999999999999</v>
      </c>
      <c r="BI10" s="205">
        <f>'VOC eksploatacja samochody'!BI52</f>
        <v>0.17299999999999999</v>
      </c>
      <c r="BJ10" s="205">
        <f>'VOC eksploatacja samochody'!BJ52</f>
        <v>0.17299999999999999</v>
      </c>
    </row>
    <row r="11" spans="1:62">
      <c r="A11" s="155" t="s">
        <v>77</v>
      </c>
      <c r="B11" s="170"/>
      <c r="C11" s="170"/>
      <c r="D11" s="170"/>
      <c r="E11" s="170"/>
      <c r="F11" s="170"/>
      <c r="G11" s="170"/>
      <c r="H11" s="170"/>
      <c r="I11" s="170"/>
      <c r="J11" s="170"/>
      <c r="K11" s="170"/>
      <c r="L11" s="170"/>
      <c r="M11" s="170"/>
      <c r="N11" s="170"/>
      <c r="O11" s="170"/>
      <c r="P11" s="170"/>
      <c r="Q11" s="170"/>
      <c r="R11" s="170"/>
      <c r="S11" s="171"/>
      <c r="T11" s="172">
        <f>'VOC eksploatacja samochody'!T53</f>
        <v>0</v>
      </c>
      <c r="U11" s="173">
        <f>'VOC eksploatacja samochody'!U53</f>
        <v>7.0909090909090913E-3</v>
      </c>
      <c r="V11" s="169">
        <f>'VOC eksploatacja samochody'!V53</f>
        <v>1.4181818181818183E-2</v>
      </c>
      <c r="W11" s="169">
        <f>'VOC eksploatacja samochody'!W53</f>
        <v>2.1272727272727273E-2</v>
      </c>
      <c r="X11" s="169">
        <f>'VOC eksploatacja samochody'!X53</f>
        <v>2.8363636363636365E-2</v>
      </c>
      <c r="Y11" s="169">
        <f>'VOC eksploatacja samochody'!Y53</f>
        <v>3.5454545454545454E-2</v>
      </c>
      <c r="Z11" s="169">
        <f>'VOC eksploatacja samochody'!Z53</f>
        <v>4.2545454545454546E-2</v>
      </c>
      <c r="AA11" s="169">
        <f>'VOC eksploatacja samochody'!AA53</f>
        <v>4.9636363636363638E-2</v>
      </c>
      <c r="AB11" s="169">
        <f>'VOC eksploatacja samochody'!AB53</f>
        <v>5.672727272727273E-2</v>
      </c>
      <c r="AC11" s="169">
        <f>'VOC eksploatacja samochody'!AC53</f>
        <v>6.3818181818181816E-2</v>
      </c>
      <c r="AD11" s="169">
        <f>'VOC eksploatacja samochody'!AD53</f>
        <v>7.0909090909090908E-2</v>
      </c>
      <c r="AE11" s="172">
        <f>'VOC eksploatacja samochody'!AE53</f>
        <v>7.8E-2</v>
      </c>
      <c r="AF11" s="169">
        <f>'VOC eksploatacja samochody'!AF53</f>
        <v>9.0649999999999994E-2</v>
      </c>
      <c r="AG11" s="169">
        <f>'VOC eksploatacja samochody'!AG53</f>
        <v>0.10329999999999999</v>
      </c>
      <c r="AH11" s="169">
        <f>'VOC eksploatacja samochody'!AH53</f>
        <v>0.11594999999999998</v>
      </c>
      <c r="AI11" s="169">
        <f>'VOC eksploatacja samochody'!AI53</f>
        <v>0.12859999999999999</v>
      </c>
      <c r="AJ11" s="169">
        <f>'VOC eksploatacja samochody'!AJ53</f>
        <v>0.14124999999999999</v>
      </c>
      <c r="AK11" s="169">
        <f>'VOC eksploatacja samochody'!AK53</f>
        <v>0.15389999999999998</v>
      </c>
      <c r="AL11" s="169">
        <f>'VOC eksploatacja samochody'!AL53</f>
        <v>0.16654999999999998</v>
      </c>
      <c r="AM11" s="169">
        <f>'VOC eksploatacja samochody'!AM53</f>
        <v>0.17919999999999997</v>
      </c>
      <c r="AN11" s="169">
        <f>'VOC eksploatacja samochody'!AN53</f>
        <v>0.19184999999999997</v>
      </c>
      <c r="AO11" s="169">
        <f>'VOC eksploatacja samochody'!AO53</f>
        <v>0.20449999999999996</v>
      </c>
      <c r="AP11" s="169">
        <f>'VOC eksploatacja samochody'!AP53</f>
        <v>0.21714999999999995</v>
      </c>
      <c r="AQ11" s="169">
        <f>'VOC eksploatacja samochody'!AQ53</f>
        <v>0.22979999999999995</v>
      </c>
      <c r="AR11" s="169">
        <f>'VOC eksploatacja samochody'!AR53</f>
        <v>0.24244999999999994</v>
      </c>
      <c r="AS11" s="169">
        <f>'VOC eksploatacja samochody'!AS53</f>
        <v>0.25509999999999994</v>
      </c>
      <c r="AT11" s="169">
        <f>'VOC eksploatacja samochody'!AT53</f>
        <v>0.26774999999999993</v>
      </c>
      <c r="AU11" s="169">
        <f>'VOC eksploatacja samochody'!AU53</f>
        <v>0.28039999999999993</v>
      </c>
      <c r="AV11" s="169">
        <f>'VOC eksploatacja samochody'!AV53</f>
        <v>0.29304999999999992</v>
      </c>
      <c r="AW11" s="169">
        <f>'VOC eksploatacja samochody'!AW53</f>
        <v>0.30569999999999992</v>
      </c>
      <c r="AX11" s="169">
        <f>'VOC eksploatacja samochody'!AX53</f>
        <v>0.31834999999999991</v>
      </c>
      <c r="AY11" s="172">
        <f>'VOC eksploatacja samochody'!AY53</f>
        <v>0.33100000000000002</v>
      </c>
      <c r="AZ11" s="169">
        <f>'VOC eksploatacja samochody'!AZ53</f>
        <v>0.33100000000000002</v>
      </c>
      <c r="BA11" s="169">
        <f>'VOC eksploatacja samochody'!BA53</f>
        <v>0.33100000000000002</v>
      </c>
      <c r="BB11" s="169">
        <f>'VOC eksploatacja samochody'!BB53</f>
        <v>0.33100000000000002</v>
      </c>
      <c r="BC11" s="169">
        <f>'VOC eksploatacja samochody'!BC53</f>
        <v>0.33100000000000002</v>
      </c>
      <c r="BD11" s="169">
        <f>'VOC eksploatacja samochody'!BD53</f>
        <v>0.33100000000000002</v>
      </c>
      <c r="BE11" s="169">
        <f>'VOC eksploatacja samochody'!BE53</f>
        <v>0.33100000000000002</v>
      </c>
      <c r="BF11" s="169">
        <f>'VOC eksploatacja samochody'!BF53</f>
        <v>0.33100000000000002</v>
      </c>
      <c r="BG11" s="169">
        <f>'VOC eksploatacja samochody'!BG53</f>
        <v>0.33100000000000002</v>
      </c>
      <c r="BH11" s="169">
        <f>'VOC eksploatacja samochody'!BH53</f>
        <v>0.33100000000000002</v>
      </c>
      <c r="BI11" s="169">
        <f>'VOC eksploatacja samochody'!BI53</f>
        <v>0.33100000000000002</v>
      </c>
      <c r="BJ11" s="169">
        <f>'VOC eksploatacja samochody'!BJ53</f>
        <v>0.33100000000000002</v>
      </c>
    </row>
    <row r="12" spans="1:62">
      <c r="A12" s="174"/>
      <c r="B12" s="175"/>
      <c r="C12" s="175"/>
      <c r="D12" s="175"/>
      <c r="E12" s="175"/>
      <c r="F12" s="175"/>
      <c r="G12" s="175"/>
      <c r="H12" s="175"/>
      <c r="I12" s="175"/>
      <c r="J12" s="175"/>
      <c r="K12" s="175"/>
      <c r="L12" s="175"/>
      <c r="M12" s="175"/>
      <c r="N12" s="175"/>
      <c r="O12" s="175"/>
      <c r="P12" s="175"/>
      <c r="Q12" s="175"/>
      <c r="R12" s="175"/>
      <c r="S12" s="175"/>
      <c r="T12" s="175" t="b">
        <f>ROUND(SUM(T9:T10),10)=ROUND(T8,10)</f>
        <v>1</v>
      </c>
      <c r="U12" s="175" t="b">
        <f t="shared" ref="U12:BI12" si="1">ROUND(SUM(U9:U10),10)=ROUND(U8,10)</f>
        <v>1</v>
      </c>
      <c r="V12" s="175" t="b">
        <f t="shared" si="1"/>
        <v>1</v>
      </c>
      <c r="W12" s="175" t="b">
        <f t="shared" si="1"/>
        <v>1</v>
      </c>
      <c r="X12" s="175" t="b">
        <f t="shared" si="1"/>
        <v>1</v>
      </c>
      <c r="Y12" s="175" t="b">
        <f t="shared" si="1"/>
        <v>1</v>
      </c>
      <c r="Z12" s="175" t="b">
        <f t="shared" si="1"/>
        <v>1</v>
      </c>
      <c r="AA12" s="175" t="b">
        <f t="shared" si="1"/>
        <v>1</v>
      </c>
      <c r="AB12" s="175" t="b">
        <f t="shared" si="1"/>
        <v>1</v>
      </c>
      <c r="AC12" s="175" t="b">
        <f t="shared" si="1"/>
        <v>1</v>
      </c>
      <c r="AD12" s="175" t="b">
        <f t="shared" si="1"/>
        <v>1</v>
      </c>
      <c r="AE12" s="175" t="b">
        <f t="shared" si="1"/>
        <v>1</v>
      </c>
      <c r="AF12" s="175" t="b">
        <f t="shared" si="1"/>
        <v>1</v>
      </c>
      <c r="AG12" s="175" t="b">
        <f t="shared" si="1"/>
        <v>1</v>
      </c>
      <c r="AH12" s="175" t="b">
        <f t="shared" si="1"/>
        <v>1</v>
      </c>
      <c r="AI12" s="175" t="b">
        <f t="shared" si="1"/>
        <v>1</v>
      </c>
      <c r="AJ12" s="175" t="b">
        <f t="shared" si="1"/>
        <v>1</v>
      </c>
      <c r="AK12" s="175" t="b">
        <f t="shared" si="1"/>
        <v>1</v>
      </c>
      <c r="AL12" s="175" t="b">
        <f t="shared" si="1"/>
        <v>1</v>
      </c>
      <c r="AM12" s="175" t="b">
        <f t="shared" si="1"/>
        <v>1</v>
      </c>
      <c r="AN12" s="175" t="b">
        <f t="shared" si="1"/>
        <v>1</v>
      </c>
      <c r="AO12" s="175" t="b">
        <f t="shared" si="1"/>
        <v>1</v>
      </c>
      <c r="AP12" s="175" t="b">
        <f t="shared" si="1"/>
        <v>1</v>
      </c>
      <c r="AQ12" s="175" t="b">
        <f t="shared" si="1"/>
        <v>1</v>
      </c>
      <c r="AR12" s="175" t="b">
        <f t="shared" si="1"/>
        <v>1</v>
      </c>
      <c r="AS12" s="175" t="b">
        <f t="shared" si="1"/>
        <v>1</v>
      </c>
      <c r="AT12" s="175" t="b">
        <f t="shared" si="1"/>
        <v>1</v>
      </c>
      <c r="AU12" s="175" t="b">
        <f t="shared" si="1"/>
        <v>1</v>
      </c>
      <c r="AV12" s="175" t="b">
        <f t="shared" si="1"/>
        <v>1</v>
      </c>
      <c r="AW12" s="175" t="b">
        <f t="shared" si="1"/>
        <v>1</v>
      </c>
      <c r="AX12" s="175" t="b">
        <f t="shared" si="1"/>
        <v>1</v>
      </c>
      <c r="AY12" s="175" t="b">
        <f t="shared" si="1"/>
        <v>1</v>
      </c>
      <c r="AZ12" s="175" t="b">
        <f t="shared" si="1"/>
        <v>1</v>
      </c>
      <c r="BA12" s="175" t="b">
        <f t="shared" si="1"/>
        <v>1</v>
      </c>
      <c r="BB12" s="175" t="b">
        <f t="shared" si="1"/>
        <v>1</v>
      </c>
      <c r="BC12" s="175" t="b">
        <f t="shared" si="1"/>
        <v>1</v>
      </c>
      <c r="BD12" s="175" t="b">
        <f t="shared" si="1"/>
        <v>1</v>
      </c>
      <c r="BE12" s="175" t="b">
        <f t="shared" si="1"/>
        <v>1</v>
      </c>
      <c r="BF12" s="175" t="b">
        <f t="shared" si="1"/>
        <v>1</v>
      </c>
      <c r="BG12" s="175" t="b">
        <f t="shared" si="1"/>
        <v>1</v>
      </c>
      <c r="BH12" s="175" t="b">
        <f t="shared" si="1"/>
        <v>1</v>
      </c>
      <c r="BI12" s="175" t="b">
        <f t="shared" si="1"/>
        <v>1</v>
      </c>
      <c r="BJ12" s="175" t="b">
        <f t="shared" ref="BJ12" si="2">ROUND(SUM(BJ9:BJ10),10)=ROUND(BJ8,10)</f>
        <v>1</v>
      </c>
    </row>
    <row r="13" spans="1:62">
      <c r="A13" s="166" t="str">
        <f>'VOC eksploatacja samochody'!$A$55</f>
        <v>Struktura floty pojazdów HGV</v>
      </c>
      <c r="B13" s="311"/>
      <c r="C13" s="311"/>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5"/>
      <c r="AH13" s="311"/>
      <c r="AI13" s="311"/>
      <c r="AJ13" s="311"/>
      <c r="AK13" s="311"/>
      <c r="AL13" s="311"/>
      <c r="AM13" s="311"/>
      <c r="AN13" s="311"/>
      <c r="AO13" s="311"/>
      <c r="AP13" s="311"/>
      <c r="AQ13" s="311"/>
      <c r="AR13" s="311"/>
      <c r="AS13" s="311"/>
      <c r="AT13" s="311"/>
      <c r="AU13" s="311"/>
      <c r="AV13" s="311"/>
      <c r="AW13" s="311"/>
      <c r="AX13" s="311"/>
      <c r="AY13" s="311"/>
      <c r="AZ13" s="311"/>
      <c r="BA13" s="311"/>
      <c r="BB13" s="311"/>
      <c r="BC13" s="311"/>
      <c r="BD13" s="311"/>
      <c r="BE13" s="311"/>
      <c r="BF13" s="311"/>
      <c r="BG13" s="311"/>
      <c r="BH13" s="311"/>
      <c r="BI13" s="311"/>
      <c r="BJ13" s="592"/>
    </row>
    <row r="14" spans="1:62">
      <c r="A14" s="9" t="s">
        <v>72</v>
      </c>
      <c r="B14" s="663" t="s">
        <v>0</v>
      </c>
      <c r="C14" s="2"/>
      <c r="D14" s="2"/>
      <c r="E14" s="2"/>
      <c r="F14" s="2"/>
      <c r="G14" s="2"/>
      <c r="H14" s="2"/>
      <c r="I14" s="2"/>
      <c r="J14" s="2"/>
      <c r="K14" s="2"/>
      <c r="L14" s="2"/>
      <c r="M14" s="2"/>
      <c r="N14" s="2"/>
      <c r="O14" s="2"/>
      <c r="P14" s="2"/>
      <c r="Q14" s="6"/>
      <c r="R14" s="6"/>
      <c r="S14" s="6"/>
      <c r="T14" s="6">
        <v>2019</v>
      </c>
      <c r="U14" s="6">
        <f t="shared" ref="U14:BJ14" si="3">T14+1</f>
        <v>2020</v>
      </c>
      <c r="V14" s="6">
        <f t="shared" si="3"/>
        <v>2021</v>
      </c>
      <c r="W14" s="6">
        <f t="shared" si="3"/>
        <v>2022</v>
      </c>
      <c r="X14" s="6">
        <f t="shared" si="3"/>
        <v>2023</v>
      </c>
      <c r="Y14" s="6">
        <f t="shared" si="3"/>
        <v>2024</v>
      </c>
      <c r="Z14" s="6">
        <f t="shared" si="3"/>
        <v>2025</v>
      </c>
      <c r="AA14" s="6">
        <f t="shared" si="3"/>
        <v>2026</v>
      </c>
      <c r="AB14" s="6">
        <f t="shared" si="3"/>
        <v>2027</v>
      </c>
      <c r="AC14" s="6">
        <f t="shared" si="3"/>
        <v>2028</v>
      </c>
      <c r="AD14" s="6">
        <f t="shared" si="3"/>
        <v>2029</v>
      </c>
      <c r="AE14" s="6">
        <f t="shared" si="3"/>
        <v>2030</v>
      </c>
      <c r="AF14" s="6">
        <f t="shared" si="3"/>
        <v>2031</v>
      </c>
      <c r="AG14" s="6">
        <f t="shared" si="3"/>
        <v>2032</v>
      </c>
      <c r="AH14" s="6">
        <f t="shared" si="3"/>
        <v>2033</v>
      </c>
      <c r="AI14" s="6">
        <f t="shared" si="3"/>
        <v>2034</v>
      </c>
      <c r="AJ14" s="6">
        <f t="shared" si="3"/>
        <v>2035</v>
      </c>
      <c r="AK14" s="6">
        <f t="shared" si="3"/>
        <v>2036</v>
      </c>
      <c r="AL14" s="6">
        <f t="shared" si="3"/>
        <v>2037</v>
      </c>
      <c r="AM14" s="6">
        <f t="shared" si="3"/>
        <v>2038</v>
      </c>
      <c r="AN14" s="6">
        <f t="shared" si="3"/>
        <v>2039</v>
      </c>
      <c r="AO14" s="6">
        <f t="shared" si="3"/>
        <v>2040</v>
      </c>
      <c r="AP14" s="6">
        <f t="shared" si="3"/>
        <v>2041</v>
      </c>
      <c r="AQ14" s="6">
        <f t="shared" si="3"/>
        <v>2042</v>
      </c>
      <c r="AR14" s="6">
        <f t="shared" si="3"/>
        <v>2043</v>
      </c>
      <c r="AS14" s="6">
        <f t="shared" si="3"/>
        <v>2044</v>
      </c>
      <c r="AT14" s="6">
        <f t="shared" si="3"/>
        <v>2045</v>
      </c>
      <c r="AU14" s="6">
        <f t="shared" si="3"/>
        <v>2046</v>
      </c>
      <c r="AV14" s="6">
        <f t="shared" si="3"/>
        <v>2047</v>
      </c>
      <c r="AW14" s="6">
        <f t="shared" si="3"/>
        <v>2048</v>
      </c>
      <c r="AX14" s="6">
        <f t="shared" si="3"/>
        <v>2049</v>
      </c>
      <c r="AY14" s="6">
        <f t="shared" si="3"/>
        <v>2050</v>
      </c>
      <c r="AZ14" s="6">
        <f t="shared" si="3"/>
        <v>2051</v>
      </c>
      <c r="BA14" s="6">
        <f t="shared" si="3"/>
        <v>2052</v>
      </c>
      <c r="BB14" s="6">
        <f t="shared" si="3"/>
        <v>2053</v>
      </c>
      <c r="BC14" s="6">
        <f t="shared" si="3"/>
        <v>2054</v>
      </c>
      <c r="BD14" s="6">
        <f t="shared" si="3"/>
        <v>2055</v>
      </c>
      <c r="BE14" s="6">
        <f t="shared" si="3"/>
        <v>2056</v>
      </c>
      <c r="BF14" s="6">
        <f t="shared" si="3"/>
        <v>2057</v>
      </c>
      <c r="BG14" s="6">
        <f t="shared" si="3"/>
        <v>2058</v>
      </c>
      <c r="BH14" s="6">
        <f t="shared" si="3"/>
        <v>2059</v>
      </c>
      <c r="BI14" s="6">
        <f t="shared" si="3"/>
        <v>2060</v>
      </c>
      <c r="BJ14" s="6">
        <f t="shared" si="3"/>
        <v>2061</v>
      </c>
    </row>
    <row r="15" spans="1:62">
      <c r="A15" s="155" t="s">
        <v>89</v>
      </c>
      <c r="B15" s="170"/>
      <c r="C15" s="170"/>
      <c r="D15" s="170"/>
      <c r="E15" s="170"/>
      <c r="F15" s="170"/>
      <c r="G15" s="170"/>
      <c r="H15" s="170"/>
      <c r="I15" s="170"/>
      <c r="J15" s="170"/>
      <c r="K15" s="170"/>
      <c r="L15" s="170"/>
      <c r="M15" s="170"/>
      <c r="N15" s="170"/>
      <c r="O15" s="170"/>
      <c r="P15" s="170"/>
      <c r="Q15" s="170"/>
      <c r="R15" s="170"/>
      <c r="S15" s="171"/>
      <c r="T15" s="172">
        <f>'VOC eksploatacja samochody'!T57</f>
        <v>1</v>
      </c>
      <c r="U15" s="173">
        <f>'VOC eksploatacja samochody'!U57</f>
        <v>1</v>
      </c>
      <c r="V15" s="169">
        <f>'VOC eksploatacja samochody'!V57</f>
        <v>1</v>
      </c>
      <c r="W15" s="169">
        <f>'VOC eksploatacja samochody'!W57</f>
        <v>1</v>
      </c>
      <c r="X15" s="169">
        <f>'VOC eksploatacja samochody'!X57</f>
        <v>1</v>
      </c>
      <c r="Y15" s="169">
        <f>'VOC eksploatacja samochody'!Y57</f>
        <v>1</v>
      </c>
      <c r="Z15" s="169">
        <f>'VOC eksploatacja samochody'!Z57</f>
        <v>1</v>
      </c>
      <c r="AA15" s="169">
        <f>'VOC eksploatacja samochody'!AA57</f>
        <v>1</v>
      </c>
      <c r="AB15" s="169">
        <f>'VOC eksploatacja samochody'!AB57</f>
        <v>1</v>
      </c>
      <c r="AC15" s="169">
        <f>'VOC eksploatacja samochody'!AC57</f>
        <v>1</v>
      </c>
      <c r="AD15" s="169">
        <f>'VOC eksploatacja samochody'!AD57</f>
        <v>1</v>
      </c>
      <c r="AE15" s="172">
        <f>'VOC eksploatacja samochody'!AE57</f>
        <v>1</v>
      </c>
      <c r="AF15" s="169">
        <f>'VOC eksploatacja samochody'!AF57</f>
        <v>1</v>
      </c>
      <c r="AG15" s="169">
        <f>'VOC eksploatacja samochody'!AG57</f>
        <v>1</v>
      </c>
      <c r="AH15" s="169">
        <f>'VOC eksploatacja samochody'!AH57</f>
        <v>1</v>
      </c>
      <c r="AI15" s="169">
        <f>'VOC eksploatacja samochody'!AI57</f>
        <v>1</v>
      </c>
      <c r="AJ15" s="169">
        <f>'VOC eksploatacja samochody'!AJ57</f>
        <v>1</v>
      </c>
      <c r="AK15" s="169">
        <f>'VOC eksploatacja samochody'!AK57</f>
        <v>1</v>
      </c>
      <c r="AL15" s="169">
        <f>'VOC eksploatacja samochody'!AL57</f>
        <v>1</v>
      </c>
      <c r="AM15" s="169">
        <f>'VOC eksploatacja samochody'!AM57</f>
        <v>1</v>
      </c>
      <c r="AN15" s="169">
        <f>'VOC eksploatacja samochody'!AN57</f>
        <v>1</v>
      </c>
      <c r="AO15" s="169">
        <f>'VOC eksploatacja samochody'!AO57</f>
        <v>1</v>
      </c>
      <c r="AP15" s="169">
        <f>'VOC eksploatacja samochody'!AP57</f>
        <v>1</v>
      </c>
      <c r="AQ15" s="169">
        <f>'VOC eksploatacja samochody'!AQ57</f>
        <v>1</v>
      </c>
      <c r="AR15" s="169">
        <f>'VOC eksploatacja samochody'!AR57</f>
        <v>1</v>
      </c>
      <c r="AS15" s="169">
        <f>'VOC eksploatacja samochody'!AS57</f>
        <v>1</v>
      </c>
      <c r="AT15" s="169">
        <f>'VOC eksploatacja samochody'!AT57</f>
        <v>1</v>
      </c>
      <c r="AU15" s="169">
        <f>'VOC eksploatacja samochody'!AU57</f>
        <v>1</v>
      </c>
      <c r="AV15" s="169">
        <f>'VOC eksploatacja samochody'!AV57</f>
        <v>1</v>
      </c>
      <c r="AW15" s="169">
        <f>'VOC eksploatacja samochody'!AW57</f>
        <v>1</v>
      </c>
      <c r="AX15" s="169">
        <f>'VOC eksploatacja samochody'!AX57</f>
        <v>1</v>
      </c>
      <c r="AY15" s="172">
        <f>'VOC eksploatacja samochody'!AY57</f>
        <v>1</v>
      </c>
      <c r="AZ15" s="169">
        <f>'VOC eksploatacja samochody'!AZ57</f>
        <v>1</v>
      </c>
      <c r="BA15" s="169">
        <f>'VOC eksploatacja samochody'!BA57</f>
        <v>1</v>
      </c>
      <c r="BB15" s="169">
        <f>'VOC eksploatacja samochody'!BB57</f>
        <v>1</v>
      </c>
      <c r="BC15" s="169">
        <f>'VOC eksploatacja samochody'!BC57</f>
        <v>1</v>
      </c>
      <c r="BD15" s="169">
        <f>'VOC eksploatacja samochody'!BD57</f>
        <v>1</v>
      </c>
      <c r="BE15" s="169">
        <f>'VOC eksploatacja samochody'!BE57</f>
        <v>1</v>
      </c>
      <c r="BF15" s="169">
        <f>'VOC eksploatacja samochody'!BF57</f>
        <v>1</v>
      </c>
      <c r="BG15" s="169">
        <f>'VOC eksploatacja samochody'!BG57</f>
        <v>1</v>
      </c>
      <c r="BH15" s="169">
        <f>'VOC eksploatacja samochody'!BH57</f>
        <v>1</v>
      </c>
      <c r="BI15" s="169">
        <f>'VOC eksploatacja samochody'!BI57</f>
        <v>1</v>
      </c>
      <c r="BJ15" s="169">
        <f>'VOC eksploatacja samochody'!BJ57</f>
        <v>1</v>
      </c>
    </row>
    <row r="16" spans="1:62">
      <c r="A16" s="155" t="s">
        <v>77</v>
      </c>
      <c r="B16" s="170"/>
      <c r="C16" s="170"/>
      <c r="D16" s="170"/>
      <c r="E16" s="170"/>
      <c r="F16" s="170"/>
      <c r="G16" s="170"/>
      <c r="H16" s="170"/>
      <c r="I16" s="170"/>
      <c r="J16" s="170"/>
      <c r="K16" s="170"/>
      <c r="L16" s="170"/>
      <c r="M16" s="170"/>
      <c r="N16" s="170"/>
      <c r="O16" s="170"/>
      <c r="P16" s="170"/>
      <c r="Q16" s="170"/>
      <c r="R16" s="170"/>
      <c r="S16" s="171"/>
      <c r="T16" s="172">
        <f>'VOC eksploatacja samochody'!T58</f>
        <v>0</v>
      </c>
      <c r="U16" s="173">
        <f>'VOC eksploatacja samochody'!U58</f>
        <v>0</v>
      </c>
      <c r="V16" s="169">
        <f>'VOC eksploatacja samochody'!V58</f>
        <v>0</v>
      </c>
      <c r="W16" s="169">
        <f>'VOC eksploatacja samochody'!W58</f>
        <v>0</v>
      </c>
      <c r="X16" s="169">
        <f>'VOC eksploatacja samochody'!X58</f>
        <v>0</v>
      </c>
      <c r="Y16" s="169">
        <f>'VOC eksploatacja samochody'!Y58</f>
        <v>0</v>
      </c>
      <c r="Z16" s="169">
        <f>'VOC eksploatacja samochody'!Z58</f>
        <v>0</v>
      </c>
      <c r="AA16" s="169">
        <f>'VOC eksploatacja samochody'!AA58</f>
        <v>0</v>
      </c>
      <c r="AB16" s="169">
        <f>'VOC eksploatacja samochody'!AB58</f>
        <v>0</v>
      </c>
      <c r="AC16" s="169">
        <f>'VOC eksploatacja samochody'!AC58</f>
        <v>0</v>
      </c>
      <c r="AD16" s="169">
        <f>'VOC eksploatacja samochody'!AD58</f>
        <v>0</v>
      </c>
      <c r="AE16" s="172">
        <f>'VOC eksploatacja samochody'!AE58</f>
        <v>0</v>
      </c>
      <c r="AF16" s="169">
        <f>'VOC eksploatacja samochody'!AF58</f>
        <v>0</v>
      </c>
      <c r="AG16" s="169">
        <f>'VOC eksploatacja samochody'!AG58</f>
        <v>0</v>
      </c>
      <c r="AH16" s="169">
        <f>'VOC eksploatacja samochody'!AH58</f>
        <v>0</v>
      </c>
      <c r="AI16" s="169">
        <f>'VOC eksploatacja samochody'!AI58</f>
        <v>0</v>
      </c>
      <c r="AJ16" s="169">
        <f>'VOC eksploatacja samochody'!AJ58</f>
        <v>0</v>
      </c>
      <c r="AK16" s="169">
        <f>'VOC eksploatacja samochody'!AK58</f>
        <v>0</v>
      </c>
      <c r="AL16" s="169">
        <f>'VOC eksploatacja samochody'!AL58</f>
        <v>0</v>
      </c>
      <c r="AM16" s="169">
        <f>'VOC eksploatacja samochody'!AM58</f>
        <v>0</v>
      </c>
      <c r="AN16" s="169">
        <f>'VOC eksploatacja samochody'!AN58</f>
        <v>0</v>
      </c>
      <c r="AO16" s="169">
        <f>'VOC eksploatacja samochody'!AO58</f>
        <v>0</v>
      </c>
      <c r="AP16" s="169">
        <f>'VOC eksploatacja samochody'!AP58</f>
        <v>0</v>
      </c>
      <c r="AQ16" s="169">
        <f>'VOC eksploatacja samochody'!AQ58</f>
        <v>0</v>
      </c>
      <c r="AR16" s="169">
        <f>'VOC eksploatacja samochody'!AR58</f>
        <v>0</v>
      </c>
      <c r="AS16" s="169">
        <f>'VOC eksploatacja samochody'!AS58</f>
        <v>0</v>
      </c>
      <c r="AT16" s="169">
        <f>'VOC eksploatacja samochody'!AT58</f>
        <v>0</v>
      </c>
      <c r="AU16" s="169">
        <f>'VOC eksploatacja samochody'!AU58</f>
        <v>0</v>
      </c>
      <c r="AV16" s="169">
        <f>'VOC eksploatacja samochody'!AV58</f>
        <v>0</v>
      </c>
      <c r="AW16" s="169">
        <f>'VOC eksploatacja samochody'!AW58</f>
        <v>0</v>
      </c>
      <c r="AX16" s="169">
        <f>'VOC eksploatacja samochody'!AX58</f>
        <v>0</v>
      </c>
      <c r="AY16" s="172">
        <f>'VOC eksploatacja samochody'!AY58</f>
        <v>0</v>
      </c>
      <c r="AZ16" s="169">
        <f>'VOC eksploatacja samochody'!AZ58</f>
        <v>0</v>
      </c>
      <c r="BA16" s="169">
        <f>'VOC eksploatacja samochody'!BA58</f>
        <v>0</v>
      </c>
      <c r="BB16" s="169">
        <f>'VOC eksploatacja samochody'!BB58</f>
        <v>0</v>
      </c>
      <c r="BC16" s="169">
        <f>'VOC eksploatacja samochody'!BC58</f>
        <v>0</v>
      </c>
      <c r="BD16" s="169">
        <f>'VOC eksploatacja samochody'!BD58</f>
        <v>0</v>
      </c>
      <c r="BE16" s="169">
        <f>'VOC eksploatacja samochody'!BE58</f>
        <v>0</v>
      </c>
      <c r="BF16" s="169">
        <f>'VOC eksploatacja samochody'!BF58</f>
        <v>0</v>
      </c>
      <c r="BG16" s="169">
        <f>'VOC eksploatacja samochody'!BG58</f>
        <v>0</v>
      </c>
      <c r="BH16" s="169">
        <f>'VOC eksploatacja samochody'!BH58</f>
        <v>0</v>
      </c>
      <c r="BI16" s="169">
        <f>'VOC eksploatacja samochody'!BI58</f>
        <v>0</v>
      </c>
      <c r="BJ16" s="169">
        <f>'VOC eksploatacja samochody'!BJ58</f>
        <v>0</v>
      </c>
    </row>
    <row r="17" spans="1:61">
      <c r="A17" s="174"/>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175"/>
      <c r="BE17" s="175"/>
      <c r="BF17" s="175"/>
      <c r="BG17" s="175"/>
      <c r="BH17" s="175"/>
      <c r="BI17" s="175"/>
    </row>
    <row r="18" spans="1:61">
      <c r="A18" s="754" t="str">
        <f>'VOC eksploatacja samochody'!$A$60</f>
        <v xml:space="preserve">W poniższych tabelach dane dla pojazdów drogowych spalinowych dotyczą całości reprezentatywnej floty pojazdów w Polsce z 2019 roku, z uwzględnieniem wszystkich rodzajów paliw. </v>
      </c>
      <c r="B18" s="754"/>
      <c r="C18" s="754"/>
      <c r="D18" s="754"/>
      <c r="E18" s="754"/>
      <c r="F18" s="754"/>
      <c r="G18" s="754"/>
      <c r="H18" s="754"/>
      <c r="I18" s="754"/>
      <c r="J18" s="754"/>
      <c r="K18" s="754"/>
      <c r="L18" s="754"/>
      <c r="M18" s="754"/>
      <c r="N18" s="754"/>
      <c r="O18" s="754"/>
      <c r="P18" s="754"/>
      <c r="Q18" s="754"/>
      <c r="R18" s="754"/>
      <c r="S18" s="754"/>
      <c r="T18" s="754"/>
      <c r="U18" s="754"/>
      <c r="V18" s="754"/>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1"/>
      <c r="AZ18" s="311"/>
      <c r="BA18" s="311"/>
      <c r="BB18" s="311"/>
      <c r="BC18" s="311"/>
      <c r="BD18" s="311"/>
      <c r="BE18" s="311"/>
      <c r="BF18" s="311"/>
      <c r="BG18" s="311"/>
      <c r="BH18" s="311"/>
      <c r="BI18" s="311"/>
    </row>
    <row r="19" spans="1:61" s="592" customFormat="1">
      <c r="A19" s="754"/>
      <c r="B19" s="754"/>
      <c r="C19" s="754"/>
      <c r="D19" s="754"/>
      <c r="E19" s="754"/>
      <c r="F19" s="754"/>
      <c r="G19" s="754"/>
      <c r="H19" s="754"/>
      <c r="I19" s="754"/>
      <c r="J19" s="754"/>
      <c r="K19" s="754"/>
      <c r="L19" s="754"/>
      <c r="M19" s="754"/>
      <c r="N19" s="754"/>
      <c r="O19" s="754"/>
      <c r="P19" s="754"/>
      <c r="Q19" s="754"/>
      <c r="R19" s="754"/>
      <c r="S19" s="754"/>
      <c r="T19" s="754"/>
      <c r="U19" s="754"/>
      <c r="V19" s="754"/>
    </row>
    <row r="20" spans="1:61">
      <c r="A20" s="754" t="str">
        <f>'VOC eksploatacja samochody'!$A$62</f>
        <v xml:space="preserve">Dla uproszczenia należy przyjąć, że aktualnie udział pojazdów elektrycznych (w tym również hybrydowych-elektrycznych) w całej flocie pojazdów poruszających się po drogach w Polsce wynosi 0%. </v>
      </c>
      <c r="B20" s="754"/>
      <c r="C20" s="754"/>
      <c r="D20" s="754"/>
      <c r="E20" s="754"/>
      <c r="F20" s="754"/>
      <c r="G20" s="754"/>
      <c r="H20" s="754"/>
      <c r="I20" s="754"/>
      <c r="J20" s="754"/>
      <c r="K20" s="754"/>
      <c r="L20" s="754"/>
      <c r="M20" s="754"/>
      <c r="N20" s="754"/>
      <c r="O20" s="754"/>
      <c r="P20" s="754"/>
      <c r="Q20" s="754"/>
      <c r="R20" s="754"/>
      <c r="S20" s="754"/>
      <c r="T20" s="754"/>
      <c r="U20" s="754"/>
      <c r="V20" s="754"/>
      <c r="W20" s="311"/>
      <c r="X20" s="311"/>
      <c r="Y20" s="311"/>
      <c r="Z20" s="311"/>
      <c r="AA20" s="311"/>
      <c r="AB20" s="311"/>
      <c r="AC20" s="311"/>
      <c r="AD20" s="311"/>
      <c r="AE20" s="311"/>
      <c r="AF20" s="311"/>
      <c r="AG20" s="311"/>
      <c r="AH20" s="311"/>
      <c r="AI20" s="311"/>
      <c r="AJ20" s="311"/>
      <c r="AK20" s="311"/>
      <c r="AL20" s="311"/>
      <c r="AM20" s="311"/>
      <c r="AN20" s="311"/>
      <c r="AO20" s="311"/>
      <c r="AP20" s="311"/>
      <c r="AQ20" s="311"/>
      <c r="AR20" s="311"/>
      <c r="AS20" s="311"/>
      <c r="AT20" s="311"/>
      <c r="AU20" s="311"/>
      <c r="AV20" s="311"/>
      <c r="AW20" s="311"/>
      <c r="AX20" s="311"/>
      <c r="AY20" s="311"/>
      <c r="AZ20" s="311"/>
      <c r="BA20" s="311"/>
      <c r="BB20" s="311"/>
      <c r="BC20" s="311"/>
      <c r="BD20" s="311"/>
      <c r="BE20" s="311"/>
      <c r="BF20" s="311"/>
      <c r="BG20" s="311"/>
      <c r="BH20" s="311"/>
      <c r="BI20" s="311"/>
    </row>
    <row r="21" spans="1:61" s="592" customFormat="1">
      <c r="A21" s="754"/>
      <c r="B21" s="754"/>
      <c r="C21" s="754"/>
      <c r="D21" s="754"/>
      <c r="E21" s="754"/>
      <c r="F21" s="754"/>
      <c r="G21" s="754"/>
      <c r="H21" s="754"/>
      <c r="I21" s="754"/>
      <c r="J21" s="754"/>
      <c r="K21" s="754"/>
      <c r="L21" s="754"/>
      <c r="M21" s="754"/>
      <c r="N21" s="754"/>
      <c r="O21" s="754"/>
      <c r="P21" s="754"/>
      <c r="Q21" s="754"/>
      <c r="R21" s="754"/>
      <c r="S21" s="754"/>
      <c r="T21" s="754"/>
      <c r="U21" s="754"/>
      <c r="V21" s="754"/>
    </row>
    <row r="22" spans="1:61">
      <c r="A22" s="311"/>
      <c r="B22" s="311"/>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1"/>
      <c r="BA22" s="311"/>
      <c r="BB22" s="311"/>
      <c r="BC22" s="311"/>
      <c r="BD22" s="311"/>
      <c r="BE22" s="311"/>
      <c r="BF22" s="311"/>
      <c r="BG22" s="311"/>
      <c r="BH22" s="311"/>
      <c r="BI22" s="311"/>
    </row>
    <row r="23" spans="1:61">
      <c r="A23" s="315" t="str">
        <f>'VOC eksploatacja samochody'!$A$65</f>
        <v xml:space="preserve">Dla potrzeb analizy projektów przedstawianych do oceny przez CUPT należy przyjąć następujące założenia: </v>
      </c>
      <c r="B23" s="311"/>
      <c r="C23" s="311"/>
      <c r="D23" s="311"/>
      <c r="E23" s="311"/>
      <c r="F23" s="311"/>
      <c r="G23" s="311"/>
      <c r="H23" s="311"/>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311"/>
      <c r="AP23" s="311"/>
      <c r="AQ23" s="311"/>
      <c r="AR23" s="311"/>
      <c r="AS23" s="311"/>
      <c r="AT23" s="311"/>
      <c r="AU23" s="311"/>
      <c r="AV23" s="311"/>
      <c r="AW23" s="311"/>
      <c r="AX23" s="311"/>
      <c r="AY23" s="311"/>
      <c r="AZ23" s="311"/>
      <c r="BA23" s="311"/>
      <c r="BB23" s="311"/>
      <c r="BC23" s="311"/>
      <c r="BD23" s="311"/>
      <c r="BE23" s="311"/>
      <c r="BF23" s="311"/>
      <c r="BG23" s="311"/>
      <c r="BH23" s="311"/>
      <c r="BI23" s="311"/>
    </row>
    <row r="24" spans="1:61">
      <c r="A24" s="125" t="str">
        <f>'VOC eksploatacja samochody'!$A$66</f>
        <v xml:space="preserve">Wskaźniki zużycia paliwa przez pojazdy spalinowe (łącznie dla wszystkich rodzajów paliw) pozostaną na wyjściowym poziomie (2019). </v>
      </c>
      <c r="B24" s="311"/>
      <c r="C24" s="311"/>
      <c r="D24" s="311"/>
      <c r="E24" s="311"/>
      <c r="F24" s="311"/>
      <c r="G24" s="311"/>
      <c r="H24" s="311"/>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311"/>
      <c r="AS24" s="311"/>
      <c r="AT24" s="311"/>
      <c r="AU24" s="311"/>
      <c r="AV24" s="311"/>
      <c r="AW24" s="311"/>
      <c r="AX24" s="311"/>
      <c r="AY24" s="311"/>
      <c r="AZ24" s="311"/>
      <c r="BA24" s="311"/>
      <c r="BB24" s="311"/>
      <c r="BC24" s="311"/>
      <c r="BD24" s="311"/>
      <c r="BE24" s="311"/>
      <c r="BF24" s="311"/>
      <c r="BG24" s="311"/>
      <c r="BH24" s="311"/>
      <c r="BI24" s="311"/>
    </row>
    <row r="25" spans="1:61">
      <c r="A25" s="125" t="str">
        <f>'VOC eksploatacja samochody'!$A$67</f>
        <v xml:space="preserve">Aktualnie flota pojazdów drogowych składa się w 100% zpojazdów spalinowych i 0% pojazdów elektrycznych. </v>
      </c>
      <c r="B25" s="311"/>
      <c r="C25" s="311"/>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311"/>
      <c r="AP25" s="311"/>
      <c r="AQ25" s="311"/>
      <c r="AR25" s="311"/>
      <c r="AS25" s="311"/>
      <c r="AT25" s="311"/>
      <c r="AU25" s="311"/>
      <c r="AV25" s="311"/>
      <c r="AW25" s="311"/>
      <c r="AX25" s="311"/>
      <c r="AY25" s="311"/>
      <c r="AZ25" s="311"/>
      <c r="BA25" s="311"/>
      <c r="BB25" s="311"/>
      <c r="BC25" s="311"/>
      <c r="BD25" s="311"/>
      <c r="BE25" s="311"/>
      <c r="BF25" s="311"/>
      <c r="BG25" s="311"/>
      <c r="BH25" s="311"/>
      <c r="BI25" s="311"/>
    </row>
    <row r="26" spans="1:61">
      <c r="A26" s="821" t="str">
        <f>'VOC eksploatacja samochody'!$A$68</f>
        <v xml:space="preserve">We flocie samochodów osobowych udziały pojazdów elektrycznych będą rosły, a pojazdów spalinowych – malały (w tym samym tempie dla wszystkich rodzajów paliw), zgodnie z przyjętym scenariuszem prognoz. </v>
      </c>
      <c r="B26" s="821"/>
      <c r="C26" s="821"/>
      <c r="D26" s="821"/>
      <c r="E26" s="821"/>
      <c r="F26" s="821"/>
      <c r="G26" s="821"/>
      <c r="H26" s="821"/>
      <c r="I26" s="821"/>
      <c r="J26" s="821"/>
      <c r="K26" s="821"/>
      <c r="L26" s="821"/>
      <c r="M26" s="821"/>
      <c r="N26" s="821"/>
      <c r="O26" s="821"/>
      <c r="P26" s="821"/>
      <c r="Q26" s="821"/>
      <c r="R26" s="821"/>
      <c r="S26" s="821"/>
      <c r="T26" s="821"/>
      <c r="U26" s="821"/>
      <c r="V26" s="82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row>
    <row r="27" spans="1:61" s="592" customFormat="1">
      <c r="A27" s="821"/>
      <c r="B27" s="821"/>
      <c r="C27" s="821"/>
      <c r="D27" s="821"/>
      <c r="E27" s="821"/>
      <c r="F27" s="821"/>
      <c r="G27" s="821"/>
      <c r="H27" s="821"/>
      <c r="I27" s="821"/>
      <c r="J27" s="821"/>
      <c r="K27" s="821"/>
      <c r="L27" s="821"/>
      <c r="M27" s="821"/>
      <c r="N27" s="821"/>
      <c r="O27" s="821"/>
      <c r="P27" s="821"/>
      <c r="Q27" s="821"/>
      <c r="R27" s="821"/>
      <c r="S27" s="821"/>
      <c r="T27" s="821"/>
      <c r="U27" s="821"/>
      <c r="V27" s="821"/>
    </row>
    <row r="28" spans="1:61">
      <c r="A28" s="821" t="str">
        <f>'VOC eksploatacja samochody'!$A$70</f>
        <v xml:space="preserve">Pomiędzy stanem aktualnym i rokiem 2030, a następnie pomiędzy latami scenariusza 2030 i 2050, udziały będą się zmieniały według interpolacji liniowej. Dla dalszych lat należy przyjąć strukturę jak w roku 2050. </v>
      </c>
      <c r="B28" s="821"/>
      <c r="C28" s="821"/>
      <c r="D28" s="821"/>
      <c r="E28" s="821"/>
      <c r="F28" s="821"/>
      <c r="G28" s="821"/>
      <c r="H28" s="821"/>
      <c r="I28" s="821"/>
      <c r="J28" s="821"/>
      <c r="K28" s="821"/>
      <c r="L28" s="821"/>
      <c r="M28" s="821"/>
      <c r="N28" s="821"/>
      <c r="O28" s="821"/>
      <c r="P28" s="821"/>
      <c r="Q28" s="821"/>
      <c r="R28" s="821"/>
      <c r="S28" s="821"/>
      <c r="T28" s="821"/>
      <c r="U28" s="821"/>
      <c r="V28" s="82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row>
    <row r="29" spans="1:61" s="592" customFormat="1">
      <c r="A29" s="821"/>
      <c r="B29" s="821"/>
      <c r="C29" s="821"/>
      <c r="D29" s="821"/>
      <c r="E29" s="821"/>
      <c r="F29" s="821"/>
      <c r="G29" s="821"/>
      <c r="H29" s="821"/>
      <c r="I29" s="821"/>
      <c r="J29" s="821"/>
      <c r="K29" s="821"/>
      <c r="L29" s="821"/>
      <c r="M29" s="821"/>
      <c r="N29" s="821"/>
      <c r="O29" s="821"/>
      <c r="P29" s="821"/>
      <c r="Q29" s="821"/>
      <c r="R29" s="821"/>
      <c r="S29" s="821"/>
      <c r="T29" s="821"/>
      <c r="U29" s="821"/>
      <c r="V29" s="821"/>
    </row>
    <row r="30" spans="1:61">
      <c r="B30" s="311"/>
      <c r="C30" s="311"/>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row>
    <row r="31" spans="1:61"/>
    <row r="32" spans="1:61"/>
    <row r="33" spans="1:34">
      <c r="A33" s="113" t="s">
        <v>590</v>
      </c>
      <c r="B33" s="113"/>
      <c r="C33" s="113"/>
      <c r="D33" s="113"/>
      <c r="E33" s="113"/>
      <c r="F33" s="113"/>
      <c r="G33" s="113"/>
      <c r="H33" s="113"/>
      <c r="I33" s="113"/>
      <c r="J33" s="113"/>
      <c r="K33" s="113"/>
      <c r="L33" s="113"/>
      <c r="M33" s="113"/>
      <c r="N33" s="113"/>
      <c r="O33" s="113"/>
      <c r="P33" s="113"/>
      <c r="Q33" s="113"/>
      <c r="R33" s="113"/>
      <c r="S33" s="113"/>
      <c r="T33" s="113"/>
      <c r="U33" s="311"/>
      <c r="V33" s="311"/>
      <c r="W33" s="311"/>
      <c r="X33" s="311"/>
      <c r="Y33" s="311"/>
      <c r="Z33" s="311"/>
      <c r="AA33" s="311"/>
      <c r="AB33" s="311"/>
      <c r="AC33" s="311"/>
      <c r="AD33" s="311"/>
      <c r="AE33" s="311"/>
      <c r="AF33" s="311"/>
      <c r="AG33" s="311"/>
      <c r="AH33" s="311"/>
    </row>
    <row r="34" spans="1:34">
      <c r="A34" s="311"/>
      <c r="B34" s="311"/>
      <c r="C34" s="311"/>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row>
    <row r="35" spans="1:34" ht="18">
      <c r="A35" s="1" t="s">
        <v>625</v>
      </c>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row>
    <row r="36" spans="1:34">
      <c r="A36" s="774" t="str">
        <f>'VOC eksploatacja samochody'!$A$78</f>
        <v xml:space="preserve">Przyjęto uproszczenie, że udziały pojazdów spalinowych używających benzyny i oleju napędowego będą stałe w całym okresie projekcji. Według przeprowadzonych obliczeń, wpływ zmian prognozowanej struktury floty pojazdów spalinowych na zużycie paliwa [ltr/ poj-km] jest nieznaczny. </v>
      </c>
      <c r="B36" s="774"/>
      <c r="C36" s="774"/>
      <c r="D36" s="774"/>
      <c r="E36" s="774"/>
      <c r="F36" s="774"/>
      <c r="G36" s="774"/>
      <c r="H36" s="774"/>
      <c r="I36" s="774"/>
      <c r="J36" s="774"/>
      <c r="K36" s="774"/>
      <c r="L36" s="774"/>
      <c r="M36" s="774"/>
      <c r="N36" s="774"/>
      <c r="O36" s="774"/>
      <c r="P36" s="774"/>
      <c r="Q36" s="774"/>
      <c r="R36" s="774"/>
      <c r="S36" s="774"/>
      <c r="T36" s="774"/>
      <c r="U36" s="774"/>
      <c r="V36" s="774"/>
      <c r="W36" s="311"/>
      <c r="X36" s="311"/>
      <c r="Y36" s="311"/>
      <c r="Z36" s="311"/>
      <c r="AA36" s="311"/>
      <c r="AB36" s="311"/>
      <c r="AC36" s="311"/>
      <c r="AD36" s="311"/>
      <c r="AE36" s="311"/>
      <c r="AF36" s="311"/>
      <c r="AG36" s="311"/>
      <c r="AH36" s="311"/>
    </row>
    <row r="37" spans="1:34" s="592" customFormat="1">
      <c r="A37" s="774"/>
      <c r="B37" s="774"/>
      <c r="C37" s="774"/>
      <c r="D37" s="774"/>
      <c r="E37" s="774"/>
      <c r="F37" s="774"/>
      <c r="G37" s="774"/>
      <c r="H37" s="774"/>
      <c r="I37" s="774"/>
      <c r="J37" s="774"/>
      <c r="K37" s="774"/>
      <c r="L37" s="774"/>
      <c r="M37" s="774"/>
      <c r="N37" s="774"/>
      <c r="O37" s="774"/>
      <c r="P37" s="774"/>
      <c r="Q37" s="774"/>
      <c r="R37" s="774"/>
      <c r="S37" s="774"/>
      <c r="T37" s="774"/>
      <c r="U37" s="774"/>
      <c r="V37" s="774"/>
    </row>
    <row r="38" spans="1:34" s="592" customFormat="1" ht="15.75" thickBot="1">
      <c r="A38" s="774"/>
      <c r="B38" s="774"/>
      <c r="C38" s="774"/>
      <c r="D38" s="774"/>
      <c r="E38" s="774"/>
      <c r="F38" s="774"/>
      <c r="G38" s="774"/>
      <c r="H38" s="774"/>
      <c r="I38" s="774"/>
      <c r="J38" s="774"/>
      <c r="K38" s="774"/>
      <c r="L38" s="774"/>
      <c r="M38" s="774"/>
      <c r="N38" s="774"/>
      <c r="O38" s="774"/>
      <c r="P38" s="774"/>
      <c r="Q38" s="774"/>
      <c r="R38" s="774"/>
      <c r="S38" s="774"/>
      <c r="T38" s="774"/>
      <c r="U38" s="774"/>
      <c r="V38" s="774"/>
    </row>
    <row r="39" spans="1:34">
      <c r="A39" s="311"/>
      <c r="B39" s="311"/>
      <c r="C39" s="311"/>
      <c r="D39" s="311"/>
      <c r="E39" s="311"/>
      <c r="F39" s="311"/>
      <c r="G39" s="311"/>
      <c r="H39" s="311"/>
      <c r="I39" s="311"/>
      <c r="J39" s="311"/>
      <c r="K39" s="311"/>
      <c r="L39" s="311"/>
      <c r="M39" s="311"/>
      <c r="N39" s="311"/>
      <c r="O39" s="311"/>
      <c r="P39" s="311"/>
      <c r="Q39" s="311"/>
      <c r="S39" s="811" t="s">
        <v>626</v>
      </c>
      <c r="T39" s="812"/>
      <c r="U39" s="813"/>
      <c r="W39" s="811" t="s">
        <v>626</v>
      </c>
      <c r="X39" s="812"/>
      <c r="Y39" s="813"/>
      <c r="Z39" s="311"/>
      <c r="AA39" s="810" t="str">
        <f>'VOC eksploatacja samochody'!$AA$81</f>
        <v xml:space="preserve">Według opracowania źródłowego, poniższe mnożniki dotyczą wszystkich kategorii kosztów użytkowników dróg, oprócz kosztów czasu. </v>
      </c>
      <c r="AB39" s="810"/>
      <c r="AC39" s="810"/>
      <c r="AD39" s="810"/>
      <c r="AE39" s="810"/>
      <c r="AF39" s="810"/>
      <c r="AG39" s="810"/>
      <c r="AH39" s="810"/>
    </row>
    <row r="40" spans="1:34" ht="15.75" thickBot="1">
      <c r="A40" s="311"/>
      <c r="B40" s="311"/>
      <c r="C40" s="311"/>
      <c r="D40" s="311"/>
      <c r="E40" s="311"/>
      <c r="F40" s="311"/>
      <c r="G40" s="311"/>
      <c r="H40" s="311"/>
      <c r="I40" s="311"/>
      <c r="J40" s="311"/>
      <c r="K40" s="311"/>
      <c r="L40" s="311"/>
      <c r="M40" s="311"/>
      <c r="N40" s="311"/>
      <c r="O40" s="311"/>
      <c r="P40" s="311"/>
      <c r="Q40" s="311"/>
      <c r="S40" s="807" t="s">
        <v>7</v>
      </c>
      <c r="T40" s="808"/>
      <c r="U40" s="809"/>
      <c r="W40" s="807" t="s">
        <v>7</v>
      </c>
      <c r="X40" s="808"/>
      <c r="Y40" s="809"/>
      <c r="Z40" s="311"/>
      <c r="AA40" s="810"/>
      <c r="AB40" s="810"/>
      <c r="AC40" s="810"/>
      <c r="AD40" s="810"/>
      <c r="AE40" s="810"/>
      <c r="AF40" s="810"/>
      <c r="AG40" s="810"/>
      <c r="AH40" s="810"/>
    </row>
    <row r="41" spans="1:34">
      <c r="A41" s="311"/>
      <c r="B41" s="311"/>
      <c r="C41" s="311"/>
      <c r="D41" s="311"/>
      <c r="E41" s="311"/>
      <c r="F41" s="311"/>
      <c r="G41" s="311"/>
      <c r="H41" s="311"/>
      <c r="I41" s="311"/>
      <c r="J41" s="311"/>
      <c r="K41" s="311"/>
      <c r="L41" s="311"/>
      <c r="M41" s="311"/>
      <c r="N41" s="311"/>
      <c r="O41" s="311"/>
      <c r="P41" s="311"/>
      <c r="Q41" s="311"/>
      <c r="S41" s="807" t="s">
        <v>8</v>
      </c>
      <c r="T41" s="808"/>
      <c r="U41" s="809"/>
      <c r="W41" s="807" t="s">
        <v>9</v>
      </c>
      <c r="X41" s="808"/>
      <c r="Y41" s="809"/>
      <c r="Z41" s="311"/>
      <c r="AA41" s="105" t="s">
        <v>28</v>
      </c>
      <c r="AB41" s="107"/>
      <c r="AC41" s="106"/>
      <c r="AD41" s="311"/>
      <c r="AE41" s="311"/>
      <c r="AF41" s="311"/>
      <c r="AG41" s="311"/>
      <c r="AH41" s="311"/>
    </row>
    <row r="42" spans="1:34" ht="15.75" thickBot="1">
      <c r="A42" s="311"/>
      <c r="B42" s="311"/>
      <c r="C42" s="311"/>
      <c r="D42" s="311"/>
      <c r="E42" s="311"/>
      <c r="F42" s="311"/>
      <c r="G42" s="311"/>
      <c r="H42" s="311"/>
      <c r="I42" s="311"/>
      <c r="J42" s="311"/>
      <c r="K42" s="311"/>
      <c r="L42" s="311"/>
      <c r="M42" s="311"/>
      <c r="N42" s="311"/>
      <c r="O42" s="311"/>
      <c r="P42" s="311"/>
      <c r="Q42" s="311"/>
      <c r="S42" s="25" t="s">
        <v>11</v>
      </c>
      <c r="T42" s="20" t="s">
        <v>10</v>
      </c>
      <c r="U42" s="21" t="s">
        <v>6</v>
      </c>
      <c r="W42" s="25" t="s">
        <v>11</v>
      </c>
      <c r="X42" s="20" t="s">
        <v>10</v>
      </c>
      <c r="Y42" s="21" t="s">
        <v>6</v>
      </c>
      <c r="Z42" s="311"/>
      <c r="AA42" s="25" t="s">
        <v>11</v>
      </c>
      <c r="AB42" s="20" t="s">
        <v>10</v>
      </c>
      <c r="AC42" s="21" t="s">
        <v>6</v>
      </c>
      <c r="AD42" s="311"/>
      <c r="AE42" s="311"/>
      <c r="AF42" s="311"/>
      <c r="AG42" s="311"/>
      <c r="AH42" s="311"/>
    </row>
    <row r="43" spans="1:34">
      <c r="A43" s="311"/>
      <c r="B43" s="311"/>
      <c r="C43" s="311"/>
      <c r="D43" s="311"/>
      <c r="E43" s="311"/>
      <c r="F43" s="311"/>
      <c r="G43" s="311"/>
      <c r="H43" s="311"/>
      <c r="I43" s="311"/>
      <c r="J43" s="311"/>
      <c r="K43" s="311"/>
      <c r="L43" s="311"/>
      <c r="M43" s="311"/>
      <c r="N43" s="311"/>
      <c r="O43" s="311"/>
      <c r="P43" s="311"/>
      <c r="Q43" s="311"/>
      <c r="S43" s="218" t="s">
        <v>875</v>
      </c>
      <c r="T43" s="219">
        <v>651.65168715951938</v>
      </c>
      <c r="U43" s="220">
        <v>1639.6119081728405</v>
      </c>
      <c r="W43" s="218" t="s">
        <v>875</v>
      </c>
      <c r="X43" s="219">
        <f t="shared" ref="X43:X56" si="4">T43*$AB43</f>
        <v>724.96250196496533</v>
      </c>
      <c r="Y43" s="220">
        <f t="shared" ref="Y43:Y56" si="5">U43*$AC43</f>
        <v>1844.5633966944456</v>
      </c>
      <c r="Z43" s="311"/>
      <c r="AA43" s="22">
        <v>5</v>
      </c>
      <c r="AB43" s="79">
        <f>'VOC eksploatacja samochody'!AB85</f>
        <v>1.1125</v>
      </c>
      <c r="AC43" s="80">
        <f>'VOC eksploatacja samochody'!AC85</f>
        <v>1.125</v>
      </c>
      <c r="AD43" s="311"/>
      <c r="AE43" s="311"/>
      <c r="AF43" s="311"/>
      <c r="AG43" s="311"/>
      <c r="AH43" s="311"/>
    </row>
    <row r="44" spans="1:34">
      <c r="A44" s="311"/>
      <c r="B44" s="311"/>
      <c r="C44" s="311"/>
      <c r="D44" s="311"/>
      <c r="E44" s="311"/>
      <c r="F44" s="311"/>
      <c r="G44" s="311"/>
      <c r="H44" s="311"/>
      <c r="I44" s="311"/>
      <c r="J44" s="311"/>
      <c r="K44" s="311"/>
      <c r="L44" s="311"/>
      <c r="M44" s="311"/>
      <c r="N44" s="311"/>
      <c r="O44" s="311"/>
      <c r="P44" s="311"/>
      <c r="Q44" s="311"/>
      <c r="S44" s="23" t="s">
        <v>876</v>
      </c>
      <c r="T44" s="81">
        <v>412.7201061515525</v>
      </c>
      <c r="U44" s="82">
        <v>913.17233760594104</v>
      </c>
      <c r="W44" s="23" t="s">
        <v>876</v>
      </c>
      <c r="X44" s="81">
        <f t="shared" si="4"/>
        <v>459.15111809360218</v>
      </c>
      <c r="Y44" s="82">
        <f t="shared" si="5"/>
        <v>1027.3188798066838</v>
      </c>
      <c r="Z44" s="311"/>
      <c r="AA44" s="23">
        <v>15</v>
      </c>
      <c r="AB44" s="81">
        <f>'VOC eksploatacja samochody'!AB86</f>
        <v>1.1125</v>
      </c>
      <c r="AC44" s="82">
        <f>'VOC eksploatacja samochody'!AC86</f>
        <v>1.125</v>
      </c>
      <c r="AD44" s="311"/>
      <c r="AE44" s="311"/>
      <c r="AF44" s="311"/>
      <c r="AG44" s="311"/>
      <c r="AH44" s="311"/>
    </row>
    <row r="45" spans="1:34">
      <c r="A45" s="311"/>
      <c r="B45" s="311"/>
      <c r="C45" s="311"/>
      <c r="D45" s="311"/>
      <c r="E45" s="311"/>
      <c r="F45" s="311"/>
      <c r="G45" s="311"/>
      <c r="H45" s="311"/>
      <c r="I45" s="311"/>
      <c r="J45" s="311"/>
      <c r="K45" s="311"/>
      <c r="L45" s="311"/>
      <c r="M45" s="311"/>
      <c r="N45" s="311"/>
      <c r="O45" s="311"/>
      <c r="P45" s="311"/>
      <c r="Q45" s="311"/>
      <c r="S45" s="23" t="s">
        <v>877</v>
      </c>
      <c r="T45" s="81">
        <v>314.4581505191743</v>
      </c>
      <c r="U45" s="82">
        <v>694.51788883595782</v>
      </c>
      <c r="W45" s="23" t="s">
        <v>877</v>
      </c>
      <c r="X45" s="81">
        <f t="shared" si="4"/>
        <v>349.83469245258141</v>
      </c>
      <c r="Y45" s="82">
        <f t="shared" si="5"/>
        <v>781.33262494045255</v>
      </c>
      <c r="Z45" s="311"/>
      <c r="AA45" s="23">
        <v>25</v>
      </c>
      <c r="AB45" s="81">
        <f>'VOC eksploatacja samochody'!AB87</f>
        <v>1.1125</v>
      </c>
      <c r="AC45" s="82">
        <f>'VOC eksploatacja samochody'!AC87</f>
        <v>1.125</v>
      </c>
      <c r="AD45" s="311"/>
      <c r="AE45" s="311"/>
      <c r="AF45" s="311"/>
      <c r="AG45" s="311"/>
      <c r="AH45" s="311"/>
    </row>
    <row r="46" spans="1:34">
      <c r="A46" s="311"/>
      <c r="B46" s="311"/>
      <c r="C46" s="311"/>
      <c r="D46" s="311"/>
      <c r="E46" s="311"/>
      <c r="F46" s="311"/>
      <c r="G46" s="311"/>
      <c r="H46" s="311"/>
      <c r="I46" s="311"/>
      <c r="J46" s="311"/>
      <c r="K46" s="311"/>
      <c r="L46" s="311"/>
      <c r="M46" s="311"/>
      <c r="N46" s="311"/>
      <c r="O46" s="311"/>
      <c r="P46" s="311"/>
      <c r="Q46" s="311"/>
      <c r="S46" s="23" t="s">
        <v>878</v>
      </c>
      <c r="T46" s="81">
        <v>255.38574188272048</v>
      </c>
      <c r="U46" s="82">
        <v>583.51998990877598</v>
      </c>
      <c r="W46" s="23" t="s">
        <v>878</v>
      </c>
      <c r="X46" s="81">
        <f t="shared" si="4"/>
        <v>284.11663784452657</v>
      </c>
      <c r="Y46" s="82">
        <f t="shared" si="5"/>
        <v>656.45998864737294</v>
      </c>
      <c r="Z46" s="311"/>
      <c r="AA46" s="23">
        <v>35</v>
      </c>
      <c r="AB46" s="81">
        <f>'VOC eksploatacja samochody'!AB88</f>
        <v>1.1125</v>
      </c>
      <c r="AC46" s="82">
        <f>'VOC eksploatacja samochody'!AC88</f>
        <v>1.125</v>
      </c>
      <c r="AD46" s="311"/>
      <c r="AE46" s="311"/>
      <c r="AF46" s="311"/>
      <c r="AG46" s="311"/>
      <c r="AH46" s="311"/>
    </row>
    <row r="47" spans="1:34">
      <c r="A47" s="311"/>
      <c r="B47" s="311"/>
      <c r="C47" s="311"/>
      <c r="D47" s="311"/>
      <c r="E47" s="311"/>
      <c r="F47" s="311"/>
      <c r="G47" s="311"/>
      <c r="H47" s="311"/>
      <c r="I47" s="311"/>
      <c r="J47" s="311"/>
      <c r="K47" s="311"/>
      <c r="L47" s="311"/>
      <c r="M47" s="311"/>
      <c r="N47" s="311"/>
      <c r="O47" s="311"/>
      <c r="P47" s="311"/>
      <c r="Q47" s="311"/>
      <c r="S47" s="23" t="s">
        <v>879</v>
      </c>
      <c r="T47" s="81">
        <v>216.347012868332</v>
      </c>
      <c r="U47" s="82">
        <v>522.58895609446085</v>
      </c>
      <c r="W47" s="23" t="s">
        <v>879</v>
      </c>
      <c r="X47" s="81">
        <f t="shared" si="4"/>
        <v>240.68605181601936</v>
      </c>
      <c r="Y47" s="82">
        <f t="shared" si="5"/>
        <v>587.91257560626843</v>
      </c>
      <c r="Z47" s="311"/>
      <c r="AA47" s="23">
        <v>45</v>
      </c>
      <c r="AB47" s="81">
        <f>'VOC eksploatacja samochody'!AB89</f>
        <v>1.1125</v>
      </c>
      <c r="AC47" s="82">
        <f>'VOC eksploatacja samochody'!AC89</f>
        <v>1.125</v>
      </c>
      <c r="AD47" s="311"/>
      <c r="AE47" s="311"/>
      <c r="AF47" s="311"/>
      <c r="AG47" s="311"/>
      <c r="AH47" s="311"/>
    </row>
    <row r="48" spans="1:34">
      <c r="A48" s="311"/>
      <c r="B48" s="311"/>
      <c r="C48" s="311"/>
      <c r="D48" s="311"/>
      <c r="E48" s="311"/>
      <c r="F48" s="311"/>
      <c r="G48" s="311"/>
      <c r="H48" s="311"/>
      <c r="I48" s="311"/>
      <c r="J48" s="311"/>
      <c r="K48" s="311"/>
      <c r="L48" s="311"/>
      <c r="M48" s="311"/>
      <c r="N48" s="311"/>
      <c r="O48" s="311"/>
      <c r="P48" s="311"/>
      <c r="Q48" s="311"/>
      <c r="S48" s="23" t="s">
        <v>880</v>
      </c>
      <c r="T48" s="81">
        <v>190.2778027438263</v>
      </c>
      <c r="U48" s="82">
        <v>490.17560067083275</v>
      </c>
      <c r="W48" s="23" t="s">
        <v>880</v>
      </c>
      <c r="X48" s="81">
        <f t="shared" si="4"/>
        <v>215.25176435395352</v>
      </c>
      <c r="Y48" s="82">
        <f t="shared" si="5"/>
        <v>561.65954243532917</v>
      </c>
      <c r="Z48" s="311"/>
      <c r="AA48" s="23">
        <v>55</v>
      </c>
      <c r="AB48" s="81">
        <f>'VOC eksploatacja samochody'!AB90</f>
        <v>1.1312500000000001</v>
      </c>
      <c r="AC48" s="82">
        <f>'VOC eksploatacja samochody'!AC90</f>
        <v>1.1458333333333333</v>
      </c>
      <c r="AD48" s="311"/>
      <c r="AE48" s="311"/>
      <c r="AF48" s="311"/>
      <c r="AG48" s="311"/>
      <c r="AH48" s="311"/>
    </row>
    <row r="49" spans="1:34">
      <c r="A49" s="311"/>
      <c r="B49" s="311"/>
      <c r="C49" s="311"/>
      <c r="D49" s="311"/>
      <c r="E49" s="311"/>
      <c r="F49" s="311"/>
      <c r="G49" s="311"/>
      <c r="H49" s="311"/>
      <c r="I49" s="311"/>
      <c r="J49" s="311"/>
      <c r="K49" s="311"/>
      <c r="L49" s="311"/>
      <c r="M49" s="311"/>
      <c r="N49" s="311"/>
      <c r="O49" s="311"/>
      <c r="P49" s="311"/>
      <c r="Q49" s="311"/>
      <c r="S49" s="23" t="s">
        <v>881</v>
      </c>
      <c r="T49" s="81">
        <v>173.75326863505259</v>
      </c>
      <c r="U49" s="82">
        <v>474.97409612620265</v>
      </c>
      <c r="W49" s="23" t="s">
        <v>881</v>
      </c>
      <c r="X49" s="81">
        <f t="shared" si="4"/>
        <v>199.81625893031051</v>
      </c>
      <c r="Y49" s="82">
        <f t="shared" si="5"/>
        <v>554.13644548056982</v>
      </c>
      <c r="Z49" s="311"/>
      <c r="AA49" s="23">
        <v>65</v>
      </c>
      <c r="AB49" s="81">
        <f>'VOC eksploatacja samochody'!AB91</f>
        <v>1.1500000000000001</v>
      </c>
      <c r="AC49" s="82">
        <f>'VOC eksploatacja samochody'!AC91</f>
        <v>1.1666666666666667</v>
      </c>
      <c r="AD49" s="311"/>
      <c r="AE49" s="311"/>
      <c r="AF49" s="311"/>
      <c r="AG49" s="311"/>
      <c r="AH49" s="311"/>
    </row>
    <row r="50" spans="1:34">
      <c r="A50" s="311"/>
      <c r="B50" s="311"/>
      <c r="C50" s="311"/>
      <c r="D50" s="311"/>
      <c r="E50" s="311"/>
      <c r="F50" s="311"/>
      <c r="G50" s="311"/>
      <c r="H50" s="311"/>
      <c r="I50" s="311"/>
      <c r="J50" s="311"/>
      <c r="K50" s="311"/>
      <c r="L50" s="311"/>
      <c r="M50" s="311"/>
      <c r="N50" s="311"/>
      <c r="O50" s="311"/>
      <c r="P50" s="311"/>
      <c r="Q50" s="311"/>
      <c r="S50" s="23" t="s">
        <v>882</v>
      </c>
      <c r="T50" s="81">
        <v>164.82997076097206</v>
      </c>
      <c r="U50" s="82">
        <v>470.83081135241491</v>
      </c>
      <c r="W50" s="23" t="s">
        <v>882</v>
      </c>
      <c r="X50" s="81">
        <f t="shared" si="4"/>
        <v>192.64502832688612</v>
      </c>
      <c r="Y50" s="82">
        <f t="shared" si="5"/>
        <v>559.11158848099274</v>
      </c>
      <c r="Z50" s="311"/>
      <c r="AA50" s="23">
        <v>75</v>
      </c>
      <c r="AB50" s="81">
        <f>'VOC eksploatacja samochody'!AB92</f>
        <v>1.1687500000000002</v>
      </c>
      <c r="AC50" s="82">
        <f>'VOC eksploatacja samochody'!AC92</f>
        <v>1.1875</v>
      </c>
      <c r="AD50" s="311"/>
      <c r="AE50" s="311"/>
      <c r="AF50" s="311"/>
      <c r="AG50" s="311"/>
      <c r="AH50" s="311"/>
    </row>
    <row r="51" spans="1:34">
      <c r="A51" s="311"/>
      <c r="B51" s="311"/>
      <c r="C51" s="311"/>
      <c r="D51" s="311"/>
      <c r="E51" s="311"/>
      <c r="F51" s="311"/>
      <c r="G51" s="311"/>
      <c r="H51" s="311"/>
      <c r="I51" s="311"/>
      <c r="J51" s="311"/>
      <c r="K51" s="311"/>
      <c r="L51" s="311"/>
      <c r="M51" s="311"/>
      <c r="N51" s="311"/>
      <c r="O51" s="311"/>
      <c r="P51" s="311"/>
      <c r="Q51" s="311"/>
      <c r="S51" s="23" t="s">
        <v>883</v>
      </c>
      <c r="T51" s="85">
        <v>162.28446761306157</v>
      </c>
      <c r="U51" s="83">
        <v>475.45541756475978</v>
      </c>
      <c r="W51" s="23" t="s">
        <v>883</v>
      </c>
      <c r="X51" s="85">
        <f t="shared" si="4"/>
        <v>192.7128052905106</v>
      </c>
      <c r="Y51" s="83">
        <f t="shared" si="5"/>
        <v>574.50862955741809</v>
      </c>
      <c r="Z51" s="311"/>
      <c r="AA51" s="84">
        <v>85</v>
      </c>
      <c r="AB51" s="81">
        <f>'VOC eksploatacja samochody'!AB93</f>
        <v>1.1875</v>
      </c>
      <c r="AC51" s="82">
        <f>'VOC eksploatacja samochody'!AC93</f>
        <v>1.2083333333333333</v>
      </c>
      <c r="AD51" s="311"/>
      <c r="AE51" s="311"/>
      <c r="AF51" s="311"/>
      <c r="AG51" s="311"/>
      <c r="AH51" s="311"/>
    </row>
    <row r="52" spans="1:34">
      <c r="A52" s="311"/>
      <c r="B52" s="311"/>
      <c r="C52" s="311"/>
      <c r="D52" s="311"/>
      <c r="E52" s="311"/>
      <c r="F52" s="311"/>
      <c r="G52" s="311"/>
      <c r="H52" s="311"/>
      <c r="I52" s="311"/>
      <c r="J52" s="311"/>
      <c r="K52" s="311"/>
      <c r="L52" s="311"/>
      <c r="M52" s="311"/>
      <c r="N52" s="311"/>
      <c r="O52" s="311"/>
      <c r="P52" s="311"/>
      <c r="Q52" s="311"/>
      <c r="S52" s="23" t="s">
        <v>884</v>
      </c>
      <c r="T52" s="85">
        <v>165.28743160204351</v>
      </c>
      <c r="U52" s="83">
        <v>493.09182952372709</v>
      </c>
      <c r="W52" s="23" t="s">
        <v>884</v>
      </c>
      <c r="X52" s="85">
        <f t="shared" si="4"/>
        <v>199.37796436996499</v>
      </c>
      <c r="Y52" s="83">
        <f t="shared" si="5"/>
        <v>606.0920404562479</v>
      </c>
      <c r="Z52" s="311"/>
      <c r="AA52" s="84">
        <v>95</v>
      </c>
      <c r="AB52" s="81">
        <f>'VOC eksploatacja samochody'!AB94</f>
        <v>1.20625</v>
      </c>
      <c r="AC52" s="82">
        <f>'VOC eksploatacja samochody'!AC94</f>
        <v>1.2291666666666667</v>
      </c>
      <c r="AD52" s="311"/>
      <c r="AE52" s="311"/>
      <c r="AF52" s="311"/>
      <c r="AG52" s="311"/>
      <c r="AH52" s="311"/>
    </row>
    <row r="53" spans="1:34">
      <c r="A53" s="311"/>
      <c r="B53" s="311"/>
      <c r="C53" s="311"/>
      <c r="D53" s="311"/>
      <c r="E53" s="311"/>
      <c r="F53" s="311"/>
      <c r="G53" s="311"/>
      <c r="H53" s="311"/>
      <c r="I53" s="311"/>
      <c r="J53" s="311"/>
      <c r="K53" s="311"/>
      <c r="L53" s="311"/>
      <c r="M53" s="311"/>
      <c r="N53" s="311"/>
      <c r="O53" s="311"/>
      <c r="P53" s="311"/>
      <c r="Q53" s="311"/>
      <c r="S53" s="23" t="s">
        <v>885</v>
      </c>
      <c r="T53" s="85">
        <v>173.24462884899583</v>
      </c>
      <c r="U53" s="83">
        <v>567.58896979576514</v>
      </c>
      <c r="W53" s="23" t="s">
        <v>885</v>
      </c>
      <c r="X53" s="85">
        <f t="shared" si="4"/>
        <v>212.22467034001991</v>
      </c>
      <c r="Y53" s="83">
        <f t="shared" si="5"/>
        <v>709.48621224470639</v>
      </c>
      <c r="Z53" s="311"/>
      <c r="AA53" s="84">
        <v>105</v>
      </c>
      <c r="AB53" s="85">
        <f>'VOC eksploatacja samochody'!AB95</f>
        <v>1.2250000000000001</v>
      </c>
      <c r="AC53" s="83">
        <f>'VOC eksploatacja samochody'!AC95</f>
        <v>1.25</v>
      </c>
      <c r="AD53" s="311"/>
      <c r="AE53" s="311"/>
      <c r="AF53" s="311"/>
      <c r="AG53" s="311"/>
      <c r="AH53" s="311"/>
    </row>
    <row r="54" spans="1:34">
      <c r="A54" s="311"/>
      <c r="B54" s="311"/>
      <c r="C54" s="311"/>
      <c r="D54" s="311"/>
      <c r="E54" s="311"/>
      <c r="F54" s="311"/>
      <c r="G54" s="311"/>
      <c r="H54" s="311"/>
      <c r="I54" s="311"/>
      <c r="J54" s="311"/>
      <c r="K54" s="311"/>
      <c r="L54" s="311"/>
      <c r="M54" s="311"/>
      <c r="N54" s="311"/>
      <c r="O54" s="311"/>
      <c r="P54" s="311"/>
      <c r="Q54" s="311"/>
      <c r="S54" s="23" t="s">
        <v>886</v>
      </c>
      <c r="T54" s="85">
        <v>185.71152476082827</v>
      </c>
      <c r="U54" s="83">
        <v>642.08611006780325</v>
      </c>
      <c r="W54" s="23" t="s">
        <v>886</v>
      </c>
      <c r="X54" s="85">
        <f t="shared" si="4"/>
        <v>227.49661783201464</v>
      </c>
      <c r="Y54" s="83">
        <f t="shared" si="5"/>
        <v>802.607637584754</v>
      </c>
      <c r="Z54" s="311"/>
      <c r="AA54" s="84">
        <v>115</v>
      </c>
      <c r="AB54" s="85">
        <f>'VOC eksploatacja samochody'!AB96</f>
        <v>1.2250000000000001</v>
      </c>
      <c r="AC54" s="83">
        <f>'VOC eksploatacja samochody'!AC96</f>
        <v>1.25</v>
      </c>
      <c r="AD54" s="311"/>
      <c r="AE54" s="311"/>
      <c r="AF54" s="311"/>
      <c r="AG54" s="311"/>
      <c r="AH54" s="311"/>
    </row>
    <row r="55" spans="1:34">
      <c r="A55" s="311"/>
      <c r="B55" s="311"/>
      <c r="C55" s="311"/>
      <c r="D55" s="311"/>
      <c r="E55" s="311"/>
      <c r="F55" s="311"/>
      <c r="G55" s="311"/>
      <c r="H55" s="311"/>
      <c r="I55" s="311"/>
      <c r="J55" s="311"/>
      <c r="K55" s="311"/>
      <c r="L55" s="311"/>
      <c r="M55" s="311"/>
      <c r="N55" s="311"/>
      <c r="O55" s="311"/>
      <c r="P55" s="311"/>
      <c r="Q55" s="311"/>
      <c r="S55" s="23" t="s">
        <v>887</v>
      </c>
      <c r="T55" s="81">
        <v>202.3439353482982</v>
      </c>
      <c r="U55" s="83">
        <v>716.58325033984124</v>
      </c>
      <c r="W55" s="23" t="s">
        <v>887</v>
      </c>
      <c r="X55" s="81">
        <f t="shared" si="4"/>
        <v>247.87132080166532</v>
      </c>
      <c r="Y55" s="83">
        <f t="shared" si="5"/>
        <v>895.72906292480161</v>
      </c>
      <c r="Z55" s="311"/>
      <c r="AA55" s="23">
        <v>125</v>
      </c>
      <c r="AB55" s="85">
        <f>'VOC eksploatacja samochody'!AB97</f>
        <v>1.2250000000000001</v>
      </c>
      <c r="AC55" s="83">
        <f>'VOC eksploatacja samochody'!AC97</f>
        <v>1.25</v>
      </c>
      <c r="AD55" s="311"/>
      <c r="AE55" s="311"/>
      <c r="AF55" s="311"/>
      <c r="AG55" s="311"/>
      <c r="AH55" s="311"/>
    </row>
    <row r="56" spans="1:34" ht="15.75" thickBot="1">
      <c r="A56" s="311"/>
      <c r="B56" s="311"/>
      <c r="C56" s="311"/>
      <c r="D56" s="311"/>
      <c r="E56" s="311"/>
      <c r="F56" s="311"/>
      <c r="G56" s="311"/>
      <c r="H56" s="311"/>
      <c r="I56" s="311"/>
      <c r="J56" s="311"/>
      <c r="K56" s="311"/>
      <c r="L56" s="311"/>
      <c r="M56" s="311"/>
      <c r="N56" s="311"/>
      <c r="O56" s="311"/>
      <c r="P56" s="311"/>
      <c r="Q56" s="311"/>
      <c r="S56" s="24" t="s">
        <v>888</v>
      </c>
      <c r="T56" s="221">
        <v>222.86780020095051</v>
      </c>
      <c r="U56" s="104">
        <v>791.08039061187924</v>
      </c>
      <c r="W56" s="24" t="s">
        <v>888</v>
      </c>
      <c r="X56" s="221">
        <f t="shared" si="4"/>
        <v>273.01305524616441</v>
      </c>
      <c r="Y56" s="104">
        <f t="shared" si="5"/>
        <v>988.85048826484899</v>
      </c>
      <c r="Z56" s="311"/>
      <c r="AA56" s="24">
        <v>135</v>
      </c>
      <c r="AB56" s="108">
        <f>'VOC eksploatacja samochody'!AB98</f>
        <v>1.2250000000000001</v>
      </c>
      <c r="AC56" s="104">
        <f>'VOC eksploatacja samochody'!AC98</f>
        <v>1.25</v>
      </c>
      <c r="AD56" s="311"/>
      <c r="AE56" s="311"/>
      <c r="AF56" s="311"/>
      <c r="AG56" s="311"/>
      <c r="AH56" s="311"/>
    </row>
    <row r="57" spans="1:34">
      <c r="A57" s="311"/>
      <c r="B57" s="311"/>
      <c r="C57" s="311"/>
      <c r="D57" s="311"/>
      <c r="E57" s="311"/>
      <c r="F57" s="311"/>
      <c r="G57" s="311"/>
      <c r="H57" s="311"/>
      <c r="I57" s="311"/>
      <c r="J57" s="311"/>
      <c r="K57" s="311"/>
      <c r="L57" s="311"/>
      <c r="M57" s="311"/>
      <c r="N57" s="311"/>
      <c r="O57" s="311"/>
      <c r="P57" s="311"/>
      <c r="Q57" s="311"/>
      <c r="S57" s="35" t="s">
        <v>627</v>
      </c>
      <c r="T57" s="311"/>
      <c r="U57" s="311"/>
      <c r="W57" s="311"/>
      <c r="X57" s="311"/>
      <c r="Y57" s="311"/>
      <c r="Z57" s="311"/>
      <c r="AA57" s="189" t="str">
        <f>'VOC eksploatacja samochody'!$AA$99</f>
        <v>Źródło: Obliczenia własne na podstawie "Optimisation of Maintenance", OECD/ITF 2012, str. 12</v>
      </c>
      <c r="AB57" s="311"/>
      <c r="AC57" s="311"/>
      <c r="AD57" s="311"/>
      <c r="AE57" s="311"/>
      <c r="AF57" s="311"/>
      <c r="AG57" s="311"/>
      <c r="AH57" s="311"/>
    </row>
    <row r="58" spans="1:34">
      <c r="A58" s="311"/>
      <c r="B58" s="311"/>
      <c r="C58" s="311"/>
      <c r="D58" s="311"/>
      <c r="E58" s="311"/>
      <c r="F58" s="311"/>
      <c r="G58" s="311"/>
      <c r="H58" s="311"/>
      <c r="I58" s="311"/>
      <c r="J58" s="311"/>
      <c r="K58" s="311"/>
      <c r="L58" s="311"/>
      <c r="M58" s="311"/>
      <c r="N58" s="311"/>
      <c r="O58" s="311"/>
      <c r="P58" s="311"/>
      <c r="Q58" s="311"/>
      <c r="R58" s="311"/>
      <c r="S58" s="35" t="s">
        <v>628</v>
      </c>
      <c r="T58" s="311"/>
      <c r="U58" s="311"/>
      <c r="V58" s="311"/>
      <c r="W58" s="311"/>
      <c r="X58" s="311"/>
      <c r="Y58" s="311"/>
      <c r="Z58" s="311"/>
      <c r="AA58" s="311"/>
      <c r="AB58" s="311"/>
      <c r="AC58" s="311"/>
      <c r="AD58" s="311"/>
      <c r="AE58" s="311"/>
      <c r="AF58" s="311"/>
      <c r="AG58" s="311"/>
      <c r="AH58" s="311"/>
    </row>
    <row r="59" spans="1:34">
      <c r="A59" s="311"/>
      <c r="B59" s="311"/>
      <c r="C59" s="311"/>
      <c r="D59" s="311"/>
      <c r="E59" s="311"/>
      <c r="F59" s="311"/>
      <c r="G59" s="311"/>
      <c r="H59" s="311"/>
      <c r="I59" s="311"/>
      <c r="J59" s="311"/>
      <c r="K59" s="311"/>
      <c r="L59" s="311"/>
      <c r="M59" s="311"/>
      <c r="N59" s="311"/>
      <c r="O59" s="311"/>
      <c r="P59" s="311"/>
      <c r="Q59" s="311"/>
      <c r="R59" s="311"/>
      <c r="S59" s="35" t="s">
        <v>629</v>
      </c>
      <c r="T59" s="311"/>
      <c r="U59" s="311"/>
      <c r="V59" s="311"/>
      <c r="W59" s="311"/>
      <c r="X59" s="311"/>
      <c r="Y59" s="311"/>
      <c r="Z59" s="311"/>
      <c r="AA59" s="311"/>
      <c r="AB59" s="311"/>
      <c r="AC59" s="311"/>
      <c r="AD59" s="311"/>
      <c r="AE59" s="311"/>
      <c r="AF59" s="311"/>
      <c r="AG59" s="311"/>
      <c r="AH59" s="311"/>
    </row>
    <row r="60" spans="1:34"/>
    <row r="61" spans="1:34" ht="18" customHeight="1">
      <c r="A61" s="754" t="s">
        <v>630</v>
      </c>
      <c r="B61" s="754"/>
      <c r="C61" s="754"/>
      <c r="D61" s="754"/>
      <c r="E61" s="754"/>
      <c r="F61" s="754"/>
      <c r="G61" s="754"/>
      <c r="H61" s="754"/>
      <c r="I61" s="754"/>
      <c r="J61" s="754"/>
      <c r="K61" s="754"/>
      <c r="L61" s="754"/>
      <c r="M61" s="754"/>
      <c r="N61" s="754"/>
      <c r="O61" s="754"/>
      <c r="P61" s="754"/>
      <c r="Q61" s="754"/>
      <c r="R61" s="754"/>
      <c r="S61" s="754"/>
      <c r="T61" s="754"/>
      <c r="U61" s="754"/>
      <c r="V61" s="754"/>
    </row>
    <row r="62" spans="1:34" s="592" customFormat="1">
      <c r="A62" s="754"/>
      <c r="B62" s="754"/>
      <c r="C62" s="754"/>
      <c r="D62" s="754"/>
      <c r="E62" s="754"/>
      <c r="F62" s="754"/>
      <c r="G62" s="754"/>
      <c r="H62" s="754"/>
      <c r="I62" s="754"/>
      <c r="J62" s="754"/>
      <c r="K62" s="754"/>
      <c r="L62" s="754"/>
      <c r="M62" s="754"/>
      <c r="N62" s="754"/>
      <c r="O62" s="754"/>
      <c r="P62" s="754"/>
      <c r="Q62" s="754"/>
      <c r="R62" s="754"/>
      <c r="S62" s="754"/>
      <c r="T62" s="754"/>
      <c r="U62" s="754"/>
      <c r="V62" s="754"/>
    </row>
    <row r="63" spans="1:34" ht="18" customHeight="1">
      <c r="A63" s="754" t="s">
        <v>631</v>
      </c>
      <c r="B63" s="754"/>
      <c r="C63" s="754"/>
      <c r="D63" s="754"/>
      <c r="E63" s="754"/>
      <c r="F63" s="754"/>
      <c r="G63" s="754"/>
      <c r="H63" s="754"/>
      <c r="I63" s="754"/>
      <c r="J63" s="754"/>
      <c r="K63" s="754"/>
      <c r="L63" s="754"/>
      <c r="M63" s="754"/>
      <c r="N63" s="754"/>
      <c r="O63" s="754"/>
      <c r="P63" s="754"/>
      <c r="Q63" s="754"/>
      <c r="R63" s="754"/>
      <c r="S63" s="754"/>
      <c r="T63" s="754"/>
      <c r="U63" s="754"/>
      <c r="V63" s="754"/>
    </row>
    <row r="64" spans="1:34" s="592" customFormat="1">
      <c r="A64" s="754"/>
      <c r="B64" s="754"/>
      <c r="C64" s="754"/>
      <c r="D64" s="754"/>
      <c r="E64" s="754"/>
      <c r="F64" s="754"/>
      <c r="G64" s="754"/>
      <c r="H64" s="754"/>
      <c r="I64" s="754"/>
      <c r="J64" s="754"/>
      <c r="K64" s="754"/>
      <c r="L64" s="754"/>
      <c r="M64" s="754"/>
      <c r="N64" s="754"/>
      <c r="O64" s="754"/>
      <c r="P64" s="754"/>
      <c r="Q64" s="754"/>
      <c r="R64" s="754"/>
      <c r="S64" s="754"/>
      <c r="T64" s="754"/>
      <c r="U64" s="754"/>
      <c r="V64" s="754"/>
    </row>
    <row r="65" spans="1:61" ht="18">
      <c r="A65" s="311" t="s">
        <v>632</v>
      </c>
      <c r="B65" s="311"/>
      <c r="C65" s="311"/>
      <c r="D65" s="311"/>
      <c r="E65" s="311"/>
      <c r="F65" s="311"/>
      <c r="G65" s="311"/>
      <c r="H65" s="311"/>
      <c r="I65" s="311"/>
      <c r="J65" s="311"/>
      <c r="K65" s="311"/>
      <c r="L65" s="311"/>
      <c r="M65" s="311"/>
      <c r="N65" s="311"/>
      <c r="O65" s="311"/>
      <c r="P65" s="311"/>
      <c r="Q65" s="311"/>
      <c r="R65" s="311"/>
      <c r="S65" s="311"/>
      <c r="T65" s="311"/>
      <c r="U65" s="311"/>
    </row>
    <row r="66" spans="1:61">
      <c r="A66" s="311"/>
      <c r="B66" s="311"/>
      <c r="C66" s="311"/>
      <c r="D66" s="311"/>
      <c r="E66" s="311"/>
      <c r="F66" s="311"/>
      <c r="G66" s="311"/>
      <c r="H66" s="311"/>
      <c r="I66" s="311"/>
      <c r="J66" s="311"/>
      <c r="K66" s="311"/>
      <c r="L66" s="311"/>
      <c r="M66" s="311"/>
      <c r="N66" s="311"/>
      <c r="O66" s="311"/>
      <c r="P66" s="311"/>
      <c r="Q66" s="311"/>
      <c r="R66" s="311"/>
      <c r="S66" s="311"/>
      <c r="T66" s="311"/>
      <c r="U66" s="311"/>
    </row>
    <row r="67" spans="1:61">
      <c r="A67" s="754" t="str">
        <f>'VOC eksploatacja samochody'!$A$198</f>
        <v xml:space="preserve">Dodatkowo, dla dróg w terenie falistym (tzn. jeśli nachylenie podłużne drogi wynosi pomiędzy 2% i 6%), należy przemnożyć wartości dla terenu płaskiego przez poniższe współczynniki. </v>
      </c>
      <c r="B67" s="754"/>
      <c r="C67" s="754"/>
      <c r="D67" s="754"/>
      <c r="E67" s="754"/>
      <c r="F67" s="754"/>
      <c r="G67" s="754"/>
      <c r="H67" s="754"/>
      <c r="I67" s="754"/>
      <c r="J67" s="754"/>
      <c r="K67" s="754"/>
      <c r="L67" s="754"/>
      <c r="M67" s="754"/>
      <c r="N67" s="754"/>
      <c r="O67" s="754"/>
      <c r="P67" s="754"/>
      <c r="Q67" s="754"/>
      <c r="R67" s="754"/>
      <c r="S67" s="754"/>
      <c r="T67" s="754"/>
      <c r="U67" s="754"/>
      <c r="V67" s="754"/>
    </row>
    <row r="68" spans="1:61" s="592" customFormat="1">
      <c r="A68" s="754"/>
      <c r="B68" s="754"/>
      <c r="C68" s="754"/>
      <c r="D68" s="754"/>
      <c r="E68" s="754"/>
      <c r="F68" s="754"/>
      <c r="G68" s="754"/>
      <c r="H68" s="754"/>
      <c r="I68" s="754"/>
      <c r="J68" s="754"/>
      <c r="K68" s="754"/>
      <c r="L68" s="754"/>
      <c r="M68" s="754"/>
      <c r="N68" s="754"/>
      <c r="O68" s="754"/>
      <c r="P68" s="754"/>
      <c r="Q68" s="754"/>
      <c r="R68" s="754"/>
      <c r="S68" s="754"/>
      <c r="T68" s="754"/>
      <c r="U68" s="754"/>
      <c r="V68" s="754"/>
    </row>
    <row r="69" spans="1:61">
      <c r="A69" s="754" t="str">
        <f>'VOC eksploatacja samochody'!$A$200</f>
        <v xml:space="preserve">Pominięto współczynniki dla dróg w terenie górskim, tj. o nachyleniu podłużnym powyżej 6%, ponieważ nie mają one istotnego znaczenia dla oceny przez CUPT projektów transportowych realizowanych w Polsce. </v>
      </c>
      <c r="B69" s="754"/>
      <c r="C69" s="754"/>
      <c r="D69" s="754"/>
      <c r="E69" s="754"/>
      <c r="F69" s="754"/>
      <c r="G69" s="754"/>
      <c r="H69" s="754"/>
      <c r="I69" s="754"/>
      <c r="J69" s="754"/>
      <c r="K69" s="754"/>
      <c r="L69" s="754"/>
      <c r="M69" s="754"/>
      <c r="N69" s="754"/>
      <c r="O69" s="754"/>
      <c r="P69" s="754"/>
      <c r="Q69" s="754"/>
      <c r="R69" s="754"/>
      <c r="S69" s="754"/>
      <c r="T69" s="754"/>
      <c r="U69" s="754"/>
      <c r="V69" s="754"/>
    </row>
    <row r="70" spans="1:61" s="592" customFormat="1">
      <c r="A70" s="754"/>
      <c r="B70" s="754"/>
      <c r="C70" s="754"/>
      <c r="D70" s="754"/>
      <c r="E70" s="754"/>
      <c r="F70" s="754"/>
      <c r="G70" s="754"/>
      <c r="H70" s="754"/>
      <c r="I70" s="754"/>
      <c r="J70" s="754"/>
      <c r="K70" s="754"/>
      <c r="L70" s="754"/>
      <c r="M70" s="754"/>
      <c r="N70" s="754"/>
      <c r="O70" s="754"/>
      <c r="P70" s="754"/>
      <c r="Q70" s="754"/>
      <c r="R70" s="754"/>
      <c r="S70" s="754"/>
      <c r="T70" s="754"/>
      <c r="U70" s="754"/>
      <c r="V70" s="754"/>
    </row>
    <row r="71" spans="1:61" s="527" customFormat="1" ht="15.75" thickBot="1">
      <c r="A71" s="527" t="s">
        <v>367</v>
      </c>
    </row>
    <row r="72" spans="1:61">
      <c r="A72" s="311"/>
      <c r="B72" s="311"/>
      <c r="C72" s="311"/>
      <c r="D72" s="311"/>
      <c r="E72" s="311"/>
      <c r="F72" s="311"/>
      <c r="G72" s="311"/>
      <c r="H72" s="311"/>
      <c r="I72" s="311"/>
      <c r="J72" s="311"/>
      <c r="K72" s="311"/>
      <c r="L72" s="311"/>
      <c r="M72" s="311"/>
      <c r="N72" s="311"/>
      <c r="O72" s="311"/>
      <c r="P72" s="311"/>
      <c r="Q72" s="311"/>
      <c r="R72" s="311"/>
      <c r="S72" s="105" t="s">
        <v>27</v>
      </c>
      <c r="T72" s="107"/>
      <c r="U72" s="106"/>
    </row>
    <row r="73" spans="1:61" ht="15.75" thickBot="1">
      <c r="A73" s="311"/>
      <c r="B73" s="311"/>
      <c r="C73" s="311"/>
      <c r="D73" s="311"/>
      <c r="E73" s="311"/>
      <c r="F73" s="311"/>
      <c r="G73" s="311"/>
      <c r="H73" s="311"/>
      <c r="I73" s="311"/>
      <c r="J73" s="311"/>
      <c r="K73" s="311"/>
      <c r="L73" s="311"/>
      <c r="M73" s="311"/>
      <c r="N73" s="311"/>
      <c r="O73" s="311"/>
      <c r="P73" s="311"/>
      <c r="Q73" s="311"/>
      <c r="R73" s="311"/>
      <c r="S73" s="32" t="s">
        <v>26</v>
      </c>
      <c r="T73" s="33" t="s">
        <v>10</v>
      </c>
      <c r="U73" s="34" t="s">
        <v>6</v>
      </c>
    </row>
    <row r="74" spans="1:61">
      <c r="A74" s="311"/>
      <c r="B74" s="311"/>
      <c r="C74" s="311"/>
      <c r="D74" s="311"/>
      <c r="E74" s="311"/>
      <c r="F74" s="311"/>
      <c r="G74" s="311"/>
      <c r="H74" s="311"/>
      <c r="I74" s="311"/>
      <c r="J74" s="311"/>
      <c r="K74" s="311"/>
      <c r="L74" s="311"/>
      <c r="M74" s="311"/>
      <c r="N74" s="311"/>
      <c r="O74" s="311"/>
      <c r="P74" s="311"/>
      <c r="Q74" s="311"/>
      <c r="R74" s="311"/>
      <c r="S74" s="26" t="s">
        <v>13</v>
      </c>
      <c r="T74" s="30">
        <v>1</v>
      </c>
      <c r="U74" s="31">
        <v>1</v>
      </c>
    </row>
    <row r="75" spans="1:61" ht="15.75" thickBot="1">
      <c r="A75" s="311"/>
      <c r="B75" s="311"/>
      <c r="C75" s="311"/>
      <c r="D75" s="311"/>
      <c r="E75" s="311"/>
      <c r="F75" s="311"/>
      <c r="G75" s="311"/>
      <c r="H75" s="311"/>
      <c r="I75" s="311"/>
      <c r="J75" s="311"/>
      <c r="K75" s="311"/>
      <c r="L75" s="311"/>
      <c r="M75" s="311"/>
      <c r="N75" s="311"/>
      <c r="O75" s="311"/>
      <c r="P75" s="311"/>
      <c r="Q75" s="311"/>
      <c r="R75" s="311"/>
      <c r="S75" s="27" t="s">
        <v>12</v>
      </c>
      <c r="T75" s="28">
        <v>1.1499999999999999</v>
      </c>
      <c r="U75" s="29">
        <v>1.6966788184975283</v>
      </c>
    </row>
    <row r="76" spans="1:61">
      <c r="A76" s="311"/>
      <c r="B76" s="311"/>
      <c r="C76" s="311"/>
      <c r="D76" s="311"/>
      <c r="E76" s="311"/>
      <c r="F76" s="311"/>
      <c r="G76" s="311"/>
      <c r="H76" s="311"/>
      <c r="I76" s="311"/>
      <c r="J76" s="311"/>
      <c r="K76" s="311"/>
      <c r="L76" s="311"/>
      <c r="M76" s="311"/>
      <c r="N76" s="311"/>
      <c r="O76" s="311"/>
      <c r="P76" s="311"/>
      <c r="Q76" s="311"/>
      <c r="R76" s="311"/>
      <c r="S76" s="35" t="s">
        <v>91</v>
      </c>
      <c r="T76" s="176"/>
      <c r="U76" s="176"/>
    </row>
    <row r="77" spans="1:61" ht="15" customHeight="1">
      <c r="S77" s="789" t="s">
        <v>633</v>
      </c>
      <c r="T77" s="789"/>
      <c r="U77" s="789"/>
      <c r="V77" s="789"/>
      <c r="W77" s="789"/>
      <c r="X77" s="789"/>
      <c r="Y77" s="789"/>
      <c r="Z77" s="789"/>
      <c r="AA77" s="669"/>
      <c r="AB77" s="669"/>
    </row>
    <row r="78" spans="1:61" s="592" customFormat="1">
      <c r="S78" s="789"/>
      <c r="T78" s="789"/>
      <c r="U78" s="789"/>
      <c r="V78" s="789"/>
      <c r="W78" s="789"/>
      <c r="X78" s="789"/>
      <c r="Y78" s="789"/>
      <c r="Z78" s="789"/>
      <c r="AA78" s="669"/>
      <c r="AB78" s="669"/>
    </row>
    <row r="79" spans="1:61"/>
    <row r="80" spans="1:61" ht="18" hidden="1" outlineLevel="1">
      <c r="A80" s="1" t="s">
        <v>634</v>
      </c>
      <c r="B80" s="311"/>
      <c r="C80" s="311"/>
      <c r="D80" s="311"/>
      <c r="E80" s="311"/>
      <c r="F80" s="311"/>
      <c r="G80" s="311"/>
      <c r="H80" s="311"/>
      <c r="I80" s="311"/>
      <c r="J80" s="311"/>
      <c r="K80" s="311"/>
      <c r="L80" s="311"/>
      <c r="M80" s="311"/>
      <c r="N80" s="311"/>
      <c r="O80" s="311"/>
      <c r="P80" s="311"/>
      <c r="Q80" s="311"/>
      <c r="R80" s="311"/>
      <c r="S80" s="311"/>
      <c r="T80" s="311"/>
      <c r="U80" s="311"/>
      <c r="V80" s="311"/>
      <c r="W80" s="311"/>
      <c r="X80" s="311"/>
      <c r="Y80" s="311"/>
      <c r="Z80" s="311"/>
      <c r="AA80" s="311"/>
      <c r="AB80" s="311"/>
      <c r="AC80" s="311"/>
      <c r="AD80" s="311"/>
      <c r="AE80" s="311"/>
      <c r="AF80" s="311"/>
      <c r="AG80" s="311"/>
      <c r="AH80" s="311"/>
      <c r="AI80" s="311"/>
      <c r="AJ80" s="311"/>
      <c r="AK80" s="311"/>
      <c r="AL80" s="311"/>
      <c r="AM80" s="311"/>
      <c r="AN80" s="311"/>
      <c r="AO80" s="311"/>
      <c r="AP80" s="311"/>
      <c r="AQ80" s="311"/>
      <c r="AR80" s="311"/>
      <c r="AS80" s="311"/>
      <c r="AT80" s="311"/>
      <c r="AU80" s="311"/>
      <c r="AV80" s="311"/>
      <c r="AW80" s="311"/>
      <c r="AX80" s="311"/>
      <c r="AY80" s="311"/>
      <c r="AZ80" s="311"/>
      <c r="BA80" s="311"/>
      <c r="BB80" s="311"/>
      <c r="BC80" s="311"/>
      <c r="BD80" s="311"/>
      <c r="BE80" s="311"/>
      <c r="BF80" s="311"/>
      <c r="BG80" s="311"/>
      <c r="BH80" s="311"/>
      <c r="BI80" s="311"/>
    </row>
    <row r="81" spans="1:61" hidden="1" outlineLevel="1">
      <c r="A81" s="311"/>
      <c r="B81" s="311"/>
      <c r="C81" s="311"/>
      <c r="D81" s="311"/>
      <c r="E81" s="311"/>
      <c r="F81" s="311"/>
      <c r="G81" s="311"/>
      <c r="H81" s="311"/>
      <c r="I81" s="311"/>
      <c r="J81" s="311"/>
      <c r="K81" s="311"/>
      <c r="L81" s="311"/>
      <c r="M81" s="311"/>
      <c r="N81" s="311"/>
      <c r="O81" s="311"/>
      <c r="P81" s="311"/>
      <c r="Q81" s="311"/>
      <c r="R81" s="311"/>
      <c r="S81" s="311"/>
      <c r="T81" s="311"/>
      <c r="U81" s="311"/>
      <c r="V81" s="311"/>
      <c r="W81" s="311"/>
      <c r="X81" s="311"/>
      <c r="Y81" s="311"/>
      <c r="Z81" s="311"/>
      <c r="AA81" s="311"/>
      <c r="AB81" s="311"/>
      <c r="AC81" s="311"/>
      <c r="AD81" s="311"/>
      <c r="AE81" s="311"/>
      <c r="AF81" s="311"/>
      <c r="AG81" s="311"/>
      <c r="AH81" s="311"/>
      <c r="AI81" s="311"/>
      <c r="AJ81" s="311"/>
      <c r="AK81" s="311"/>
      <c r="AL81" s="311"/>
      <c r="AM81" s="311"/>
      <c r="AN81" s="311"/>
      <c r="AO81" s="311"/>
      <c r="AP81" s="311"/>
      <c r="AQ81" s="311"/>
      <c r="AR81" s="311"/>
      <c r="AS81" s="311"/>
      <c r="AT81" s="311"/>
      <c r="AU81" s="311"/>
      <c r="AV81" s="311"/>
      <c r="AW81" s="311"/>
      <c r="AX81" s="311"/>
      <c r="AY81" s="311"/>
      <c r="AZ81" s="311"/>
      <c r="BA81" s="311"/>
      <c r="BB81" s="311"/>
      <c r="BC81" s="311"/>
      <c r="BD81" s="311"/>
      <c r="BE81" s="311"/>
      <c r="BF81" s="311"/>
      <c r="BG81" s="311"/>
      <c r="BH81" s="311"/>
      <c r="BI81" s="311"/>
    </row>
    <row r="82" spans="1:61" ht="18" hidden="1" outlineLevel="1">
      <c r="A82" s="311" t="s">
        <v>32</v>
      </c>
      <c r="B82" s="311"/>
      <c r="C82" s="311"/>
      <c r="D82" s="311"/>
      <c r="E82" s="311"/>
      <c r="F82" s="311"/>
      <c r="G82" s="311"/>
      <c r="H82" s="311"/>
      <c r="I82" s="311"/>
      <c r="J82" s="311"/>
      <c r="K82" s="311"/>
      <c r="L82" s="311"/>
      <c r="M82" s="311"/>
      <c r="N82" s="311"/>
      <c r="O82" s="311"/>
      <c r="P82" s="311"/>
      <c r="Q82" s="311"/>
      <c r="R82" s="311"/>
      <c r="S82" s="311"/>
      <c r="T82" s="311"/>
      <c r="U82" s="311"/>
      <c r="V82" s="311"/>
      <c r="W82" s="311"/>
      <c r="X82" s="311"/>
      <c r="Y82" s="311"/>
      <c r="Z82" s="311"/>
      <c r="AA82" s="311"/>
      <c r="AB82" s="311"/>
      <c r="AC82" s="311"/>
      <c r="AD82" s="311"/>
      <c r="AE82" s="311"/>
      <c r="AF82" s="311"/>
      <c r="AG82" s="311"/>
      <c r="AH82" s="311"/>
      <c r="AI82" s="311"/>
      <c r="AJ82" s="311"/>
      <c r="AK82" s="311"/>
      <c r="AL82" s="311"/>
      <c r="AM82" s="311"/>
      <c r="AN82" s="311"/>
      <c r="AO82" s="311"/>
      <c r="AP82" s="311"/>
      <c r="AQ82" s="311"/>
      <c r="AR82" s="311"/>
      <c r="AS82" s="311"/>
      <c r="AT82" s="311"/>
      <c r="AU82" s="311"/>
      <c r="AV82" s="311"/>
      <c r="AW82" s="311"/>
      <c r="AX82" s="311"/>
      <c r="AY82" s="311"/>
      <c r="AZ82" s="311"/>
      <c r="BA82" s="311"/>
      <c r="BB82" s="311"/>
      <c r="BC82" s="311"/>
      <c r="BD82" s="311"/>
      <c r="BE82" s="311"/>
      <c r="BF82" s="311"/>
      <c r="BG82" s="311"/>
      <c r="BH82" s="311"/>
      <c r="BI82" s="311"/>
    </row>
    <row r="83" spans="1:61" hidden="1" outlineLevel="1">
      <c r="A83" s="9"/>
      <c r="B83" s="9"/>
      <c r="C83" s="9"/>
      <c r="D83" s="9"/>
      <c r="E83" s="9"/>
      <c r="F83" s="9"/>
      <c r="G83" s="9"/>
      <c r="H83" s="9"/>
      <c r="I83" s="9"/>
      <c r="J83" s="9"/>
      <c r="K83" s="9"/>
      <c r="L83" s="9"/>
      <c r="M83" s="9"/>
      <c r="N83" s="9"/>
      <c r="O83" s="9"/>
      <c r="P83" s="6">
        <v>2020</v>
      </c>
      <c r="Q83" s="6">
        <v>2025</v>
      </c>
      <c r="R83" s="6">
        <v>2030</v>
      </c>
      <c r="S83" s="6">
        <v>2035</v>
      </c>
      <c r="T83" s="6">
        <v>2040</v>
      </c>
      <c r="U83" s="6">
        <v>2045</v>
      </c>
      <c r="V83" s="6">
        <v>2050</v>
      </c>
      <c r="W83" s="311"/>
      <c r="X83" s="311"/>
      <c r="Y83" s="311"/>
      <c r="Z83" s="311"/>
      <c r="AA83" s="311"/>
      <c r="AB83" s="311"/>
      <c r="AC83" s="311"/>
      <c r="AD83" s="311"/>
      <c r="AE83" s="311"/>
      <c r="AF83" s="311"/>
      <c r="AG83" s="311"/>
      <c r="AH83" s="311"/>
      <c r="AI83" s="311"/>
      <c r="AJ83" s="311"/>
      <c r="AK83" s="311"/>
      <c r="AL83" s="311"/>
      <c r="AM83" s="311"/>
      <c r="AN83" s="311"/>
      <c r="AO83" s="311"/>
      <c r="AP83" s="311"/>
      <c r="AQ83" s="311"/>
      <c r="AR83" s="311"/>
      <c r="AS83" s="311"/>
      <c r="AT83" s="311"/>
      <c r="AU83" s="311"/>
      <c r="AV83" s="311"/>
      <c r="AW83" s="311"/>
      <c r="AX83" s="311"/>
      <c r="AY83" s="311"/>
      <c r="AZ83" s="311"/>
      <c r="BA83" s="311"/>
      <c r="BB83" s="311"/>
      <c r="BC83" s="311"/>
      <c r="BD83" s="311"/>
      <c r="BE83" s="311"/>
      <c r="BF83" s="311"/>
      <c r="BG83" s="311"/>
      <c r="BH83" s="311"/>
      <c r="BI83" s="311"/>
    </row>
    <row r="84" spans="1:61" ht="18" hidden="1" outlineLevel="1">
      <c r="A84" s="8" t="s">
        <v>60</v>
      </c>
      <c r="B84" s="75"/>
      <c r="C84" s="75"/>
      <c r="D84" s="75"/>
      <c r="E84" s="75"/>
      <c r="F84" s="75"/>
      <c r="G84" s="75"/>
      <c r="H84" s="75"/>
      <c r="I84" s="75"/>
      <c r="J84" s="75"/>
      <c r="K84" s="75"/>
      <c r="L84" s="75"/>
      <c r="M84" s="75"/>
      <c r="N84" s="75"/>
      <c r="O84" s="75"/>
      <c r="P84" s="7">
        <v>80</v>
      </c>
      <c r="Q84" s="7">
        <v>165</v>
      </c>
      <c r="R84" s="7">
        <v>250</v>
      </c>
      <c r="S84" s="7">
        <v>390</v>
      </c>
      <c r="T84" s="7">
        <v>525</v>
      </c>
      <c r="U84" s="7">
        <v>660</v>
      </c>
      <c r="V84" s="7">
        <v>800</v>
      </c>
      <c r="W84" s="311"/>
      <c r="X84" s="311"/>
      <c r="Y84" s="311"/>
      <c r="Z84" s="311"/>
      <c r="AA84" s="311"/>
      <c r="AB84" s="311"/>
      <c r="AC84" s="311"/>
      <c r="AD84" s="311"/>
      <c r="AE84" s="311"/>
      <c r="AF84" s="311"/>
      <c r="AG84" s="311"/>
      <c r="AH84" s="311"/>
      <c r="AI84" s="311"/>
      <c r="AJ84" s="311"/>
      <c r="AK84" s="311"/>
      <c r="AL84" s="311"/>
      <c r="AM84" s="311"/>
      <c r="AN84" s="311"/>
      <c r="AO84" s="311"/>
      <c r="AP84" s="311"/>
      <c r="AQ84" s="311"/>
      <c r="AR84" s="311"/>
      <c r="AS84" s="311"/>
      <c r="AT84" s="311"/>
      <c r="AU84" s="311"/>
      <c r="AV84" s="311"/>
      <c r="AW84" s="311"/>
      <c r="AX84" s="311"/>
      <c r="AY84" s="311"/>
      <c r="AZ84" s="311"/>
      <c r="BA84" s="311"/>
      <c r="BB84" s="311"/>
      <c r="BC84" s="311"/>
      <c r="BD84" s="311"/>
      <c r="BE84" s="311"/>
      <c r="BF84" s="311"/>
      <c r="BG84" s="311"/>
      <c r="BH84" s="311"/>
      <c r="BI84" s="311"/>
    </row>
    <row r="85" spans="1:61" ht="18" hidden="1" outlineLevel="1">
      <c r="A85" s="35" t="s">
        <v>635</v>
      </c>
      <c r="B85" s="311"/>
      <c r="C85" s="311"/>
      <c r="D85" s="311"/>
      <c r="E85" s="311"/>
      <c r="F85" s="311"/>
      <c r="G85" s="311"/>
      <c r="H85" s="311"/>
      <c r="I85" s="311"/>
      <c r="J85" s="311"/>
      <c r="K85" s="311"/>
      <c r="L85" s="311"/>
      <c r="M85" s="311"/>
      <c r="N85" s="311"/>
      <c r="O85" s="311"/>
      <c r="P85" s="311"/>
      <c r="Q85" s="311"/>
      <c r="R85" s="311"/>
      <c r="S85" s="311"/>
      <c r="T85" s="311"/>
      <c r="U85" s="311"/>
      <c r="V85" s="311"/>
      <c r="W85" s="311"/>
      <c r="X85" s="311"/>
      <c r="Y85" s="311"/>
      <c r="Z85" s="311"/>
      <c r="AA85" s="311"/>
      <c r="AB85" s="311"/>
      <c r="AC85" s="311"/>
      <c r="AD85" s="311"/>
      <c r="AE85" s="311"/>
      <c r="AF85" s="311"/>
      <c r="AG85" s="311"/>
      <c r="AH85" s="311"/>
      <c r="AI85" s="311"/>
      <c r="AJ85" s="311"/>
      <c r="AK85" s="311"/>
      <c r="AL85" s="311"/>
      <c r="AM85" s="311"/>
      <c r="AN85" s="311"/>
      <c r="AO85" s="311"/>
      <c r="AP85" s="311"/>
      <c r="AQ85" s="311"/>
      <c r="AR85" s="311"/>
      <c r="AS85" s="311"/>
      <c r="AT85" s="311"/>
      <c r="AU85" s="311"/>
      <c r="AV85" s="311"/>
      <c r="AW85" s="311"/>
      <c r="AX85" s="311"/>
      <c r="AY85" s="311"/>
      <c r="AZ85" s="311"/>
      <c r="BA85" s="311"/>
      <c r="BB85" s="311"/>
      <c r="BC85" s="311"/>
      <c r="BD85" s="311"/>
      <c r="BE85" s="311"/>
      <c r="BF85" s="311"/>
      <c r="BG85" s="311"/>
      <c r="BH85" s="311"/>
      <c r="BI85" s="311"/>
    </row>
    <row r="86" spans="1:61" hidden="1" outlineLevel="1">
      <c r="A86" s="311"/>
      <c r="B86" s="311"/>
      <c r="C86" s="311"/>
      <c r="D86" s="311"/>
      <c r="E86" s="311"/>
      <c r="F86" s="311"/>
      <c r="G86" s="311"/>
      <c r="H86" s="311"/>
      <c r="I86" s="311"/>
      <c r="J86" s="311"/>
      <c r="K86" s="311"/>
      <c r="L86" s="311"/>
      <c r="M86" s="311"/>
      <c r="N86" s="311"/>
      <c r="O86" s="311"/>
      <c r="P86" s="311"/>
      <c r="Q86" s="311"/>
      <c r="R86" s="311"/>
      <c r="S86" s="311"/>
      <c r="T86" s="311"/>
      <c r="U86" s="311"/>
      <c r="V86" s="311"/>
      <c r="W86" s="311"/>
      <c r="X86" s="311"/>
      <c r="Y86" s="311"/>
      <c r="Z86" s="311"/>
      <c r="AA86" s="311"/>
      <c r="AB86" s="311"/>
      <c r="AC86" s="311"/>
      <c r="AD86" s="311"/>
      <c r="AE86" s="311"/>
      <c r="AF86" s="311"/>
      <c r="AG86" s="311"/>
      <c r="AH86" s="311"/>
      <c r="AI86" s="311"/>
      <c r="AJ86" s="311"/>
      <c r="AK86" s="311"/>
      <c r="AL86" s="311"/>
      <c r="AM86" s="311"/>
      <c r="AN86" s="311"/>
      <c r="AO86" s="311"/>
      <c r="AP86" s="311"/>
      <c r="AQ86" s="311"/>
      <c r="AR86" s="311"/>
      <c r="AS86" s="311"/>
      <c r="AT86" s="311"/>
      <c r="AU86" s="311"/>
      <c r="AV86" s="311"/>
      <c r="AW86" s="311"/>
      <c r="AX86" s="311"/>
      <c r="AY86" s="311"/>
      <c r="AZ86" s="311"/>
      <c r="BA86" s="311"/>
      <c r="BB86" s="311"/>
      <c r="BC86" s="311"/>
      <c r="BD86" s="311"/>
      <c r="BE86" s="311"/>
      <c r="BF86" s="311"/>
      <c r="BG86" s="311"/>
      <c r="BH86" s="311"/>
      <c r="BI86" s="311"/>
    </row>
    <row r="87" spans="1:61" hidden="1" outlineLevel="1">
      <c r="A87" s="9" t="s">
        <v>2</v>
      </c>
      <c r="B87" s="6"/>
      <c r="C87" s="6"/>
      <c r="D87" s="6"/>
      <c r="E87" s="6"/>
      <c r="F87" s="6"/>
      <c r="G87" s="6"/>
      <c r="H87" s="6"/>
      <c r="I87" s="6"/>
      <c r="J87" s="6"/>
      <c r="K87" s="6"/>
      <c r="L87" s="6"/>
      <c r="M87" s="6"/>
      <c r="N87" s="6"/>
      <c r="O87" s="6"/>
      <c r="P87" s="6"/>
      <c r="Q87" s="6">
        <v>2016</v>
      </c>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311"/>
      <c r="AP87" s="311"/>
      <c r="AQ87" s="311"/>
      <c r="AR87" s="311"/>
      <c r="AS87" s="311"/>
      <c r="AT87" s="311"/>
      <c r="AU87" s="311"/>
      <c r="AV87" s="311"/>
      <c r="AW87" s="311"/>
      <c r="AX87" s="311"/>
      <c r="AY87" s="311"/>
      <c r="AZ87" s="311"/>
      <c r="BA87" s="311"/>
      <c r="BB87" s="311"/>
      <c r="BC87" s="311"/>
      <c r="BD87" s="311"/>
      <c r="BE87" s="311"/>
      <c r="BF87" s="311"/>
      <c r="BG87" s="311"/>
      <c r="BH87" s="311"/>
      <c r="BI87" s="311"/>
    </row>
    <row r="88" spans="1:61" hidden="1" outlineLevel="1">
      <c r="A88" s="8" t="s">
        <v>3</v>
      </c>
      <c r="B88" s="12"/>
      <c r="C88" s="12"/>
      <c r="D88" s="12"/>
      <c r="E88" s="12"/>
      <c r="F88" s="12"/>
      <c r="G88" s="12"/>
      <c r="H88" s="12"/>
      <c r="I88" s="12"/>
      <c r="J88" s="12"/>
      <c r="K88" s="12"/>
      <c r="L88" s="12"/>
      <c r="M88" s="12"/>
      <c r="N88" s="12"/>
      <c r="O88" s="12"/>
      <c r="P88" s="12"/>
      <c r="Q88" s="11">
        <f>Indeksacja!$Q$41</f>
        <v>4.3632</v>
      </c>
      <c r="R88" s="311"/>
      <c r="S88" s="311"/>
      <c r="T88" s="311"/>
      <c r="U88" s="311"/>
      <c r="V88" s="311"/>
      <c r="W88" s="311"/>
      <c r="X88" s="311"/>
      <c r="Y88" s="311"/>
      <c r="Z88" s="311"/>
      <c r="AA88" s="311"/>
      <c r="AB88" s="311"/>
      <c r="AC88" s="311"/>
      <c r="AD88" s="311"/>
      <c r="AE88" s="311"/>
      <c r="AF88" s="311"/>
      <c r="AG88" s="311"/>
      <c r="AH88" s="311"/>
      <c r="AI88" s="311"/>
      <c r="AJ88" s="311"/>
      <c r="AK88" s="311"/>
      <c r="AL88" s="311"/>
      <c r="AM88" s="311"/>
      <c r="AN88" s="311"/>
      <c r="AO88" s="311"/>
      <c r="AP88" s="311"/>
      <c r="AQ88" s="311"/>
      <c r="AR88" s="311"/>
      <c r="AS88" s="311"/>
      <c r="AT88" s="311"/>
      <c r="AU88" s="311"/>
      <c r="AV88" s="311"/>
      <c r="AW88" s="311"/>
      <c r="AX88" s="311"/>
      <c r="AY88" s="311"/>
      <c r="AZ88" s="311"/>
      <c r="BA88" s="311"/>
      <c r="BB88" s="311"/>
      <c r="BC88" s="311"/>
      <c r="BD88" s="311"/>
      <c r="BE88" s="311"/>
      <c r="BF88" s="311"/>
      <c r="BG88" s="311"/>
      <c r="BH88" s="311"/>
      <c r="BI88" s="311"/>
    </row>
    <row r="89" spans="1:61" hidden="1" outlineLevel="1">
      <c r="A89" s="35" t="str">
        <f>Indeksacja!$A$42</f>
        <v>Źródło: ECB, http://sdw.ecb.europa.eu/quickview.do?SERIES_KEY=120.EXR.A.PLN.EUR.SP00.A</v>
      </c>
      <c r="B89" s="311"/>
      <c r="C89" s="311"/>
      <c r="D89" s="311"/>
      <c r="E89" s="311"/>
      <c r="F89" s="311"/>
      <c r="G89" s="311"/>
      <c r="H89" s="311"/>
      <c r="I89" s="311"/>
      <c r="J89" s="311"/>
      <c r="K89" s="311"/>
      <c r="L89" s="311"/>
      <c r="M89" s="311"/>
      <c r="N89" s="311"/>
      <c r="O89" s="311"/>
      <c r="P89" s="311"/>
      <c r="Q89" s="311"/>
      <c r="R89" s="311"/>
      <c r="S89" s="311"/>
      <c r="T89" s="311"/>
      <c r="U89" s="311"/>
      <c r="V89" s="311"/>
      <c r="W89" s="311"/>
      <c r="X89" s="311"/>
      <c r="Y89" s="311"/>
      <c r="Z89" s="311"/>
      <c r="AA89" s="311"/>
      <c r="AB89" s="311"/>
      <c r="AC89" s="311"/>
      <c r="AD89" s="311"/>
      <c r="AE89" s="311"/>
      <c r="AF89" s="311"/>
      <c r="AG89" s="311"/>
      <c r="AH89" s="311"/>
      <c r="AI89" s="311"/>
      <c r="AJ89" s="311"/>
      <c r="AK89" s="311"/>
      <c r="AL89" s="311"/>
      <c r="AM89" s="311"/>
      <c r="AN89" s="311"/>
      <c r="AO89" s="311"/>
      <c r="AP89" s="311"/>
      <c r="AQ89" s="311"/>
      <c r="AR89" s="311"/>
      <c r="AS89" s="311"/>
      <c r="AT89" s="311"/>
      <c r="AU89" s="311"/>
      <c r="AV89" s="311"/>
      <c r="AW89" s="311"/>
      <c r="AX89" s="311"/>
      <c r="AY89" s="311"/>
      <c r="AZ89" s="311"/>
      <c r="BA89" s="311"/>
      <c r="BB89" s="311"/>
      <c r="BC89" s="311"/>
      <c r="BD89" s="311"/>
      <c r="BE89" s="311"/>
      <c r="BF89" s="311"/>
      <c r="BG89" s="311"/>
      <c r="BH89" s="311"/>
      <c r="BI89" s="311"/>
    </row>
    <row r="90" spans="1:61" hidden="1" outlineLevel="1">
      <c r="A90" s="311"/>
      <c r="B90" s="311"/>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311"/>
      <c r="AM90" s="311"/>
      <c r="AN90" s="311"/>
      <c r="AO90" s="311"/>
      <c r="AP90" s="311"/>
      <c r="AQ90" s="311"/>
      <c r="AR90" s="311"/>
      <c r="AS90" s="311"/>
      <c r="AT90" s="311"/>
      <c r="AU90" s="311"/>
      <c r="AV90" s="311"/>
      <c r="AW90" s="311"/>
      <c r="AX90" s="311"/>
      <c r="AY90" s="311"/>
      <c r="AZ90" s="311"/>
      <c r="BA90" s="311"/>
      <c r="BB90" s="311"/>
      <c r="BC90" s="311"/>
      <c r="BD90" s="311"/>
      <c r="BE90" s="311"/>
      <c r="BF90" s="311"/>
      <c r="BG90" s="311"/>
      <c r="BH90" s="311"/>
      <c r="BI90" s="311"/>
    </row>
    <row r="91" spans="1:61" hidden="1" outlineLevel="1">
      <c r="A91" s="9" t="s">
        <v>293</v>
      </c>
      <c r="B91" s="6"/>
      <c r="C91" s="6"/>
      <c r="D91" s="6"/>
      <c r="E91" s="6"/>
      <c r="F91" s="6"/>
      <c r="G91" s="6"/>
      <c r="H91" s="6"/>
      <c r="I91" s="6"/>
      <c r="J91" s="6"/>
      <c r="K91" s="6"/>
      <c r="L91" s="6"/>
      <c r="M91" s="6"/>
      <c r="N91" s="6"/>
      <c r="O91" s="6"/>
      <c r="P91" s="6"/>
      <c r="Q91" s="6">
        <v>2016</v>
      </c>
      <c r="R91" s="6">
        <f>Q91+1</f>
        <v>2017</v>
      </c>
      <c r="S91" s="6">
        <f t="shared" ref="S91:BI91" si="6">R91+1</f>
        <v>2018</v>
      </c>
      <c r="T91" s="6">
        <f t="shared" si="6"/>
        <v>2019</v>
      </c>
      <c r="U91" s="6">
        <f t="shared" si="6"/>
        <v>2020</v>
      </c>
      <c r="V91" s="6">
        <f t="shared" si="6"/>
        <v>2021</v>
      </c>
      <c r="W91" s="6">
        <f t="shared" si="6"/>
        <v>2022</v>
      </c>
      <c r="X91" s="6">
        <f t="shared" si="6"/>
        <v>2023</v>
      </c>
      <c r="Y91" s="6">
        <f t="shared" si="6"/>
        <v>2024</v>
      </c>
      <c r="Z91" s="6">
        <f t="shared" si="6"/>
        <v>2025</v>
      </c>
      <c r="AA91" s="6">
        <f t="shared" si="6"/>
        <v>2026</v>
      </c>
      <c r="AB91" s="6">
        <f t="shared" si="6"/>
        <v>2027</v>
      </c>
      <c r="AC91" s="6">
        <f t="shared" si="6"/>
        <v>2028</v>
      </c>
      <c r="AD91" s="6">
        <f t="shared" si="6"/>
        <v>2029</v>
      </c>
      <c r="AE91" s="6">
        <f t="shared" si="6"/>
        <v>2030</v>
      </c>
      <c r="AF91" s="6">
        <f t="shared" si="6"/>
        <v>2031</v>
      </c>
      <c r="AG91" s="6">
        <f t="shared" si="6"/>
        <v>2032</v>
      </c>
      <c r="AH91" s="6">
        <f t="shared" si="6"/>
        <v>2033</v>
      </c>
      <c r="AI91" s="6">
        <f t="shared" si="6"/>
        <v>2034</v>
      </c>
      <c r="AJ91" s="6">
        <f t="shared" si="6"/>
        <v>2035</v>
      </c>
      <c r="AK91" s="6">
        <f t="shared" si="6"/>
        <v>2036</v>
      </c>
      <c r="AL91" s="6">
        <f t="shared" si="6"/>
        <v>2037</v>
      </c>
      <c r="AM91" s="6">
        <f t="shared" si="6"/>
        <v>2038</v>
      </c>
      <c r="AN91" s="6">
        <f t="shared" si="6"/>
        <v>2039</v>
      </c>
      <c r="AO91" s="6">
        <f t="shared" si="6"/>
        <v>2040</v>
      </c>
      <c r="AP91" s="6">
        <f t="shared" si="6"/>
        <v>2041</v>
      </c>
      <c r="AQ91" s="6">
        <f t="shared" si="6"/>
        <v>2042</v>
      </c>
      <c r="AR91" s="6">
        <f t="shared" si="6"/>
        <v>2043</v>
      </c>
      <c r="AS91" s="6">
        <f t="shared" si="6"/>
        <v>2044</v>
      </c>
      <c r="AT91" s="6">
        <f t="shared" si="6"/>
        <v>2045</v>
      </c>
      <c r="AU91" s="6">
        <f t="shared" si="6"/>
        <v>2046</v>
      </c>
      <c r="AV91" s="6">
        <f t="shared" si="6"/>
        <v>2047</v>
      </c>
      <c r="AW91" s="6">
        <f t="shared" si="6"/>
        <v>2048</v>
      </c>
      <c r="AX91" s="6">
        <f t="shared" si="6"/>
        <v>2049</v>
      </c>
      <c r="AY91" s="6">
        <f t="shared" si="6"/>
        <v>2050</v>
      </c>
      <c r="AZ91" s="6">
        <f t="shared" si="6"/>
        <v>2051</v>
      </c>
      <c r="BA91" s="6">
        <f t="shared" si="6"/>
        <v>2052</v>
      </c>
      <c r="BB91" s="6">
        <f t="shared" si="6"/>
        <v>2053</v>
      </c>
      <c r="BC91" s="6">
        <f t="shared" si="6"/>
        <v>2054</v>
      </c>
      <c r="BD91" s="6">
        <f t="shared" si="6"/>
        <v>2055</v>
      </c>
      <c r="BE91" s="6">
        <f t="shared" si="6"/>
        <v>2056</v>
      </c>
      <c r="BF91" s="6">
        <f t="shared" si="6"/>
        <v>2057</v>
      </c>
      <c r="BG91" s="6">
        <f t="shared" si="6"/>
        <v>2058</v>
      </c>
      <c r="BH91" s="6">
        <f t="shared" si="6"/>
        <v>2059</v>
      </c>
      <c r="BI91" s="6">
        <f t="shared" si="6"/>
        <v>2060</v>
      </c>
    </row>
    <row r="92" spans="1:61" ht="30" hidden="1" outlineLevel="1">
      <c r="A92" s="8" t="s">
        <v>5</v>
      </c>
      <c r="B92" s="13"/>
      <c r="C92" s="13"/>
      <c r="D92" s="13"/>
      <c r="E92" s="13"/>
      <c r="F92" s="13"/>
      <c r="G92" s="13"/>
      <c r="H92" s="13"/>
      <c r="I92" s="13"/>
      <c r="J92" s="13"/>
      <c r="K92" s="13"/>
      <c r="L92" s="13"/>
      <c r="M92" s="13"/>
      <c r="N92" s="13"/>
      <c r="O92" s="13"/>
      <c r="P92" s="13"/>
      <c r="Q92" s="13"/>
      <c r="R92" s="10">
        <f>Indeksacja!R$6/100</f>
        <v>1.02</v>
      </c>
      <c r="S92" s="10">
        <f>Indeksacja!S$6/100</f>
        <v>1.016</v>
      </c>
      <c r="T92" s="10">
        <f>Indeksacja!T$6/100</f>
        <v>1.0229999999999999</v>
      </c>
      <c r="U92" s="10">
        <f>Indeksacja!U$6/100</f>
        <v>1.034</v>
      </c>
      <c r="V92" s="10">
        <f>Indeksacja!V$6/100</f>
        <v>1.0509999999999999</v>
      </c>
      <c r="W92" s="10">
        <f>Indeksacja!W$6/100</f>
        <v>1.1440000000000001</v>
      </c>
      <c r="X92" s="10">
        <f>Indeksacja!X$6/100</f>
        <v>1.1140000000000001</v>
      </c>
      <c r="Y92" s="19">
        <v>1</v>
      </c>
      <c r="Z92" s="19">
        <v>1</v>
      </c>
      <c r="AA92" s="19">
        <v>1</v>
      </c>
      <c r="AB92" s="19">
        <v>1</v>
      </c>
      <c r="AC92" s="19">
        <v>1</v>
      </c>
      <c r="AD92" s="19">
        <v>1</v>
      </c>
      <c r="AE92" s="19">
        <v>1</v>
      </c>
      <c r="AF92" s="19">
        <v>1</v>
      </c>
      <c r="AG92" s="19">
        <v>1</v>
      </c>
      <c r="AH92" s="19">
        <v>1</v>
      </c>
      <c r="AI92" s="19">
        <v>1</v>
      </c>
      <c r="AJ92" s="19">
        <v>1</v>
      </c>
      <c r="AK92" s="19">
        <v>1</v>
      </c>
      <c r="AL92" s="19">
        <v>1</v>
      </c>
      <c r="AM92" s="19">
        <v>1</v>
      </c>
      <c r="AN92" s="19">
        <v>1</v>
      </c>
      <c r="AO92" s="19">
        <v>1</v>
      </c>
      <c r="AP92" s="19">
        <v>1</v>
      </c>
      <c r="AQ92" s="19">
        <v>1</v>
      </c>
      <c r="AR92" s="19">
        <v>1</v>
      </c>
      <c r="AS92" s="19">
        <v>1</v>
      </c>
      <c r="AT92" s="19">
        <v>1</v>
      </c>
      <c r="AU92" s="19">
        <v>1</v>
      </c>
      <c r="AV92" s="19">
        <v>1</v>
      </c>
      <c r="AW92" s="19">
        <v>1</v>
      </c>
      <c r="AX92" s="19">
        <v>1</v>
      </c>
      <c r="AY92" s="19">
        <v>1</v>
      </c>
      <c r="AZ92" s="19">
        <v>1</v>
      </c>
      <c r="BA92" s="19">
        <v>1</v>
      </c>
      <c r="BB92" s="19">
        <v>1</v>
      </c>
      <c r="BC92" s="19">
        <v>1</v>
      </c>
      <c r="BD92" s="19">
        <v>1</v>
      </c>
      <c r="BE92" s="19">
        <v>1</v>
      </c>
      <c r="BF92" s="19">
        <v>1</v>
      </c>
      <c r="BG92" s="19">
        <v>1</v>
      </c>
      <c r="BH92" s="19">
        <v>1</v>
      </c>
      <c r="BI92" s="19">
        <v>1</v>
      </c>
    </row>
    <row r="93" spans="1:61" ht="45" hidden="1" outlineLevel="1">
      <c r="A93" s="8" t="s">
        <v>519</v>
      </c>
      <c r="B93" s="13"/>
      <c r="C93" s="13"/>
      <c r="D93" s="13"/>
      <c r="E93" s="13"/>
      <c r="F93" s="13"/>
      <c r="G93" s="13"/>
      <c r="H93" s="13"/>
      <c r="I93" s="13"/>
      <c r="J93" s="13"/>
      <c r="K93" s="13"/>
      <c r="L93" s="13"/>
      <c r="M93" s="13"/>
      <c r="N93" s="13"/>
      <c r="O93" s="13"/>
      <c r="P93" s="13"/>
      <c r="Q93" s="229">
        <v>1</v>
      </c>
      <c r="R93" s="10">
        <f>Q93*R92</f>
        <v>1.02</v>
      </c>
      <c r="S93" s="10">
        <f t="shared" ref="S93:BI93" si="7">R93*S92</f>
        <v>1.0363200000000001</v>
      </c>
      <c r="T93" s="10">
        <f t="shared" si="7"/>
        <v>1.06015536</v>
      </c>
      <c r="U93" s="10">
        <f t="shared" si="7"/>
        <v>1.0962006422399999</v>
      </c>
      <c r="V93" s="10">
        <f t="shared" si="7"/>
        <v>1.1521068749942398</v>
      </c>
      <c r="W93" s="10">
        <f t="shared" si="7"/>
        <v>1.3180102649934105</v>
      </c>
      <c r="X93" s="10">
        <f t="shared" si="7"/>
        <v>1.4682634352026593</v>
      </c>
      <c r="Y93" s="10">
        <f t="shared" si="7"/>
        <v>1.4682634352026593</v>
      </c>
      <c r="Z93" s="10">
        <f t="shared" si="7"/>
        <v>1.4682634352026593</v>
      </c>
      <c r="AA93" s="10">
        <f t="shared" si="7"/>
        <v>1.4682634352026593</v>
      </c>
      <c r="AB93" s="10">
        <f t="shared" si="7"/>
        <v>1.4682634352026593</v>
      </c>
      <c r="AC93" s="10">
        <f t="shared" si="7"/>
        <v>1.4682634352026593</v>
      </c>
      <c r="AD93" s="10">
        <f t="shared" si="7"/>
        <v>1.4682634352026593</v>
      </c>
      <c r="AE93" s="10">
        <f t="shared" si="7"/>
        <v>1.4682634352026593</v>
      </c>
      <c r="AF93" s="10">
        <f t="shared" si="7"/>
        <v>1.4682634352026593</v>
      </c>
      <c r="AG93" s="10">
        <f t="shared" si="7"/>
        <v>1.4682634352026593</v>
      </c>
      <c r="AH93" s="10">
        <f t="shared" si="7"/>
        <v>1.4682634352026593</v>
      </c>
      <c r="AI93" s="10">
        <f t="shared" si="7"/>
        <v>1.4682634352026593</v>
      </c>
      <c r="AJ93" s="10">
        <f t="shared" si="7"/>
        <v>1.4682634352026593</v>
      </c>
      <c r="AK93" s="10">
        <f t="shared" si="7"/>
        <v>1.4682634352026593</v>
      </c>
      <c r="AL93" s="10">
        <f t="shared" si="7"/>
        <v>1.4682634352026593</v>
      </c>
      <c r="AM93" s="10">
        <f t="shared" si="7"/>
        <v>1.4682634352026593</v>
      </c>
      <c r="AN93" s="10">
        <f t="shared" si="7"/>
        <v>1.4682634352026593</v>
      </c>
      <c r="AO93" s="10">
        <f t="shared" si="7"/>
        <v>1.4682634352026593</v>
      </c>
      <c r="AP93" s="10">
        <f t="shared" si="7"/>
        <v>1.4682634352026593</v>
      </c>
      <c r="AQ93" s="10">
        <f t="shared" si="7"/>
        <v>1.4682634352026593</v>
      </c>
      <c r="AR93" s="10">
        <f t="shared" si="7"/>
        <v>1.4682634352026593</v>
      </c>
      <c r="AS93" s="10">
        <f t="shared" si="7"/>
        <v>1.4682634352026593</v>
      </c>
      <c r="AT93" s="10">
        <f t="shared" si="7"/>
        <v>1.4682634352026593</v>
      </c>
      <c r="AU93" s="10">
        <f t="shared" si="7"/>
        <v>1.4682634352026593</v>
      </c>
      <c r="AV93" s="10">
        <f t="shared" si="7"/>
        <v>1.4682634352026593</v>
      </c>
      <c r="AW93" s="10">
        <f t="shared" si="7"/>
        <v>1.4682634352026593</v>
      </c>
      <c r="AX93" s="10">
        <f t="shared" si="7"/>
        <v>1.4682634352026593</v>
      </c>
      <c r="AY93" s="10">
        <f t="shared" si="7"/>
        <v>1.4682634352026593</v>
      </c>
      <c r="AZ93" s="10">
        <f t="shared" si="7"/>
        <v>1.4682634352026593</v>
      </c>
      <c r="BA93" s="10">
        <f t="shared" si="7"/>
        <v>1.4682634352026593</v>
      </c>
      <c r="BB93" s="10">
        <f t="shared" si="7"/>
        <v>1.4682634352026593</v>
      </c>
      <c r="BC93" s="10">
        <f t="shared" si="7"/>
        <v>1.4682634352026593</v>
      </c>
      <c r="BD93" s="10">
        <f t="shared" si="7"/>
        <v>1.4682634352026593</v>
      </c>
      <c r="BE93" s="10">
        <f t="shared" si="7"/>
        <v>1.4682634352026593</v>
      </c>
      <c r="BF93" s="10">
        <f t="shared" si="7"/>
        <v>1.4682634352026593</v>
      </c>
      <c r="BG93" s="10">
        <f t="shared" si="7"/>
        <v>1.4682634352026593</v>
      </c>
      <c r="BH93" s="10">
        <f t="shared" si="7"/>
        <v>1.4682634352026593</v>
      </c>
      <c r="BI93" s="10">
        <f t="shared" si="7"/>
        <v>1.4682634352026593</v>
      </c>
    </row>
    <row r="94" spans="1:61" hidden="1" outlineLevel="1">
      <c r="A94" s="35" t="str">
        <f>Indeksacja!A$7</f>
        <v>Źródło: GUS, https://stat.gov.pl/wskazniki-makroekonomiczne/ - Roczne wskaźniki makroekonomiczne, arkusz "WSKAŹNIKI CEN" (aktualizacja 19.04.2024)</v>
      </c>
      <c r="B94" s="311"/>
      <c r="C94" s="311"/>
      <c r="D94" s="311"/>
      <c r="E94" s="311"/>
      <c r="F94" s="311"/>
      <c r="G94" s="311"/>
      <c r="H94" s="311"/>
      <c r="I94" s="311"/>
      <c r="J94" s="311"/>
      <c r="K94" s="311"/>
      <c r="L94" s="311"/>
      <c r="M94" s="311"/>
      <c r="N94" s="311"/>
      <c r="O94" s="311"/>
      <c r="P94" s="311"/>
      <c r="Q94" s="311"/>
      <c r="R94" s="311"/>
      <c r="S94" s="311"/>
      <c r="T94" s="311"/>
      <c r="U94" s="311"/>
      <c r="V94" s="311"/>
      <c r="W94" s="311"/>
      <c r="X94" s="311"/>
      <c r="Y94" s="311"/>
      <c r="Z94" s="311"/>
      <c r="AA94" s="311"/>
      <c r="AB94" s="311"/>
      <c r="AC94" s="311"/>
      <c r="AD94" s="311"/>
      <c r="AE94" s="311"/>
      <c r="AF94" s="311"/>
      <c r="AG94" s="311"/>
      <c r="AH94" s="311"/>
      <c r="AI94" s="311"/>
      <c r="AJ94" s="311"/>
      <c r="AK94" s="311"/>
      <c r="AL94" s="311"/>
      <c r="AM94" s="311"/>
      <c r="AN94" s="311"/>
      <c r="AO94" s="311"/>
      <c r="AP94" s="311"/>
      <c r="AQ94" s="311"/>
      <c r="AR94" s="311"/>
      <c r="AS94" s="311"/>
      <c r="AT94" s="311"/>
      <c r="AU94" s="311"/>
      <c r="AV94" s="311"/>
      <c r="AW94" s="311"/>
      <c r="AX94" s="311"/>
      <c r="AY94" s="311"/>
      <c r="AZ94" s="311"/>
      <c r="BA94" s="311"/>
      <c r="BB94" s="311"/>
      <c r="BC94" s="311"/>
      <c r="BD94" s="311"/>
      <c r="BE94" s="311"/>
      <c r="BF94" s="311"/>
      <c r="BG94" s="311"/>
      <c r="BH94" s="311"/>
      <c r="BI94" s="311"/>
    </row>
    <row r="95" spans="1:61" hidden="1" outlineLevel="1">
      <c r="A95" s="311"/>
      <c r="B95" s="311"/>
      <c r="C95" s="311"/>
      <c r="D95" s="311"/>
      <c r="E95" s="311"/>
      <c r="F95" s="311"/>
      <c r="G95" s="311"/>
      <c r="H95" s="311"/>
      <c r="I95" s="311"/>
      <c r="J95" s="311"/>
      <c r="K95" s="311"/>
      <c r="L95" s="311"/>
      <c r="M95" s="311"/>
      <c r="N95" s="311"/>
      <c r="O95" s="311"/>
      <c r="P95" s="311"/>
      <c r="Q95" s="311"/>
      <c r="R95" s="311"/>
      <c r="S95" s="311"/>
      <c r="T95" s="311"/>
      <c r="U95" s="311"/>
      <c r="V95" s="311"/>
      <c r="W95" s="311"/>
      <c r="X95" s="311"/>
      <c r="Y95" s="311"/>
      <c r="Z95" s="311"/>
      <c r="AA95" s="311"/>
      <c r="AB95" s="311"/>
      <c r="AC95" s="311"/>
      <c r="AD95" s="311"/>
      <c r="AE95" s="311"/>
      <c r="AF95" s="311"/>
      <c r="AG95" s="311"/>
      <c r="AH95" s="311"/>
      <c r="AI95" s="311"/>
      <c r="AJ95" s="311"/>
      <c r="AK95" s="311"/>
      <c r="AL95" s="311"/>
      <c r="AM95" s="311"/>
      <c r="AN95" s="311"/>
      <c r="AO95" s="311"/>
      <c r="AP95" s="311"/>
      <c r="AQ95" s="311"/>
      <c r="AR95" s="311"/>
      <c r="AS95" s="311"/>
      <c r="AT95" s="311"/>
      <c r="AU95" s="311"/>
      <c r="AV95" s="311"/>
      <c r="AW95" s="311"/>
      <c r="AX95" s="311"/>
      <c r="AY95" s="311"/>
      <c r="AZ95" s="311"/>
      <c r="BA95" s="311"/>
      <c r="BB95" s="311"/>
      <c r="BC95" s="311"/>
      <c r="BD95" s="311"/>
      <c r="BE95" s="311"/>
      <c r="BF95" s="311"/>
      <c r="BG95" s="311"/>
      <c r="BH95" s="311"/>
      <c r="BI95" s="311"/>
    </row>
    <row r="96" spans="1:61" ht="18" hidden="1" outlineLevel="1">
      <c r="A96" s="1" t="s">
        <v>912</v>
      </c>
      <c r="B96" s="311"/>
      <c r="C96" s="311"/>
      <c r="D96" s="311"/>
      <c r="E96" s="311"/>
      <c r="F96" s="311"/>
      <c r="G96" s="311"/>
      <c r="H96" s="311"/>
      <c r="I96" s="311"/>
      <c r="J96" s="311"/>
      <c r="K96" s="311"/>
      <c r="L96" s="311"/>
      <c r="M96" s="311"/>
      <c r="N96" s="311"/>
      <c r="O96" s="311"/>
      <c r="P96" s="14"/>
      <c r="Q96" s="14"/>
      <c r="R96" s="311"/>
      <c r="S96" s="311"/>
      <c r="T96" s="311"/>
      <c r="U96" s="311"/>
      <c r="V96" s="311"/>
      <c r="W96" s="311"/>
      <c r="X96" s="311"/>
      <c r="Y96" s="311"/>
      <c r="Z96" s="311"/>
      <c r="AA96" s="311"/>
      <c r="AB96" s="311"/>
      <c r="AC96" s="311"/>
      <c r="AD96" s="311"/>
      <c r="AE96" s="311"/>
      <c r="AF96" s="311"/>
      <c r="AG96" s="311"/>
      <c r="AH96" s="311"/>
      <c r="AI96" s="311"/>
      <c r="AJ96" s="311"/>
      <c r="AK96" s="311"/>
      <c r="AL96" s="311"/>
      <c r="AM96" s="311"/>
      <c r="AN96" s="311"/>
      <c r="AO96" s="311"/>
      <c r="AP96" s="311"/>
      <c r="AQ96" s="311"/>
      <c r="AR96" s="311"/>
      <c r="AS96" s="311"/>
      <c r="AT96" s="311"/>
      <c r="AU96" s="311"/>
      <c r="AV96" s="311"/>
      <c r="AW96" s="311"/>
      <c r="AX96" s="311"/>
      <c r="AY96" s="311"/>
      <c r="AZ96" s="311"/>
      <c r="BA96" s="311"/>
      <c r="BB96" s="311"/>
      <c r="BC96" s="311"/>
      <c r="BD96" s="311"/>
      <c r="BE96" s="311"/>
      <c r="BF96" s="311"/>
      <c r="BG96" s="311"/>
      <c r="BH96" s="311"/>
      <c r="BI96" s="311"/>
    </row>
    <row r="97" spans="1:61" s="515" customFormat="1" hidden="1" outlineLevel="1">
      <c r="A97" s="757" t="s">
        <v>1</v>
      </c>
      <c r="B97" s="663" t="s">
        <v>309</v>
      </c>
      <c r="C97" s="649"/>
      <c r="D97" s="649"/>
      <c r="E97" s="649"/>
      <c r="F97" s="649"/>
      <c r="G97" s="649"/>
      <c r="H97" s="649"/>
      <c r="I97" s="649"/>
      <c r="J97" s="649"/>
      <c r="K97" s="649"/>
      <c r="L97" s="649"/>
      <c r="M97" s="649"/>
      <c r="N97" s="649"/>
      <c r="O97" s="649"/>
      <c r="P97" s="652"/>
      <c r="Q97" s="6">
        <v>2017</v>
      </c>
      <c r="R97" s="6">
        <f t="shared" ref="R97:T97" si="8">Q97+1</f>
        <v>2018</v>
      </c>
      <c r="S97" s="6">
        <f t="shared" si="8"/>
        <v>2019</v>
      </c>
      <c r="T97" s="6">
        <f t="shared" si="8"/>
        <v>2020</v>
      </c>
      <c r="U97" s="6">
        <f>T97+1</f>
        <v>2021</v>
      </c>
      <c r="V97" s="6">
        <f t="shared" ref="V97:BI97" si="9">U97+1</f>
        <v>2022</v>
      </c>
      <c r="W97" s="6">
        <f t="shared" si="9"/>
        <v>2023</v>
      </c>
      <c r="X97" s="6">
        <f t="shared" si="9"/>
        <v>2024</v>
      </c>
      <c r="Y97" s="6">
        <f t="shared" si="9"/>
        <v>2025</v>
      </c>
      <c r="Z97" s="6">
        <f t="shared" si="9"/>
        <v>2026</v>
      </c>
      <c r="AA97" s="6">
        <f t="shared" si="9"/>
        <v>2027</v>
      </c>
      <c r="AB97" s="6">
        <f t="shared" si="9"/>
        <v>2028</v>
      </c>
      <c r="AC97" s="6">
        <f t="shared" si="9"/>
        <v>2029</v>
      </c>
      <c r="AD97" s="6">
        <f t="shared" si="9"/>
        <v>2030</v>
      </c>
      <c r="AE97" s="6">
        <f t="shared" si="9"/>
        <v>2031</v>
      </c>
      <c r="AF97" s="6">
        <f t="shared" si="9"/>
        <v>2032</v>
      </c>
      <c r="AG97" s="6">
        <f t="shared" si="9"/>
        <v>2033</v>
      </c>
      <c r="AH97" s="6">
        <f t="shared" si="9"/>
        <v>2034</v>
      </c>
      <c r="AI97" s="6">
        <f t="shared" si="9"/>
        <v>2035</v>
      </c>
      <c r="AJ97" s="6">
        <f t="shared" si="9"/>
        <v>2036</v>
      </c>
      <c r="AK97" s="6">
        <f t="shared" si="9"/>
        <v>2037</v>
      </c>
      <c r="AL97" s="6">
        <f t="shared" si="9"/>
        <v>2038</v>
      </c>
      <c r="AM97" s="6">
        <f t="shared" si="9"/>
        <v>2039</v>
      </c>
      <c r="AN97" s="6">
        <f t="shared" si="9"/>
        <v>2040</v>
      </c>
      <c r="AO97" s="6">
        <f t="shared" si="9"/>
        <v>2041</v>
      </c>
      <c r="AP97" s="6">
        <f t="shared" si="9"/>
        <v>2042</v>
      </c>
      <c r="AQ97" s="6">
        <f t="shared" si="9"/>
        <v>2043</v>
      </c>
      <c r="AR97" s="6">
        <f t="shared" si="9"/>
        <v>2044</v>
      </c>
      <c r="AS97" s="6">
        <f t="shared" si="9"/>
        <v>2045</v>
      </c>
      <c r="AT97" s="6">
        <f t="shared" si="9"/>
        <v>2046</v>
      </c>
      <c r="AU97" s="6">
        <f t="shared" si="9"/>
        <v>2047</v>
      </c>
      <c r="AV97" s="6">
        <f t="shared" si="9"/>
        <v>2048</v>
      </c>
      <c r="AW97" s="6">
        <f t="shared" si="9"/>
        <v>2049</v>
      </c>
      <c r="AX97" s="6">
        <f t="shared" si="9"/>
        <v>2050</v>
      </c>
      <c r="AY97" s="6">
        <f t="shared" si="9"/>
        <v>2051</v>
      </c>
      <c r="AZ97" s="6">
        <f t="shared" si="9"/>
        <v>2052</v>
      </c>
      <c r="BA97" s="6">
        <f t="shared" si="9"/>
        <v>2053</v>
      </c>
      <c r="BB97" s="6">
        <f t="shared" si="9"/>
        <v>2054</v>
      </c>
      <c r="BC97" s="6">
        <f t="shared" si="9"/>
        <v>2055</v>
      </c>
      <c r="BD97" s="6">
        <f t="shared" si="9"/>
        <v>2056</v>
      </c>
      <c r="BE97" s="6">
        <f t="shared" si="9"/>
        <v>2057</v>
      </c>
      <c r="BF97" s="6">
        <f t="shared" si="9"/>
        <v>2058</v>
      </c>
      <c r="BG97" s="6">
        <f t="shared" si="9"/>
        <v>2059</v>
      </c>
      <c r="BH97" s="6">
        <f t="shared" si="9"/>
        <v>2060</v>
      </c>
      <c r="BI97" s="6">
        <f t="shared" si="9"/>
        <v>2061</v>
      </c>
    </row>
    <row r="98" spans="1:61" hidden="1" outlineLevel="1">
      <c r="A98" s="758"/>
      <c r="B98" s="664" t="s">
        <v>510</v>
      </c>
      <c r="C98" s="659"/>
      <c r="D98" s="659"/>
      <c r="E98" s="659"/>
      <c r="F98" s="659"/>
      <c r="G98" s="659"/>
      <c r="H98" s="659"/>
      <c r="I98" s="659"/>
      <c r="J98" s="659"/>
      <c r="K98" s="659"/>
      <c r="L98" s="659"/>
      <c r="M98" s="659"/>
      <c r="N98" s="659"/>
      <c r="O98" s="659"/>
      <c r="P98" s="665"/>
      <c r="Q98" s="661">
        <f>DATE(2016,12,31)</f>
        <v>42735</v>
      </c>
      <c r="R98" s="661">
        <f>DATE(YEAR(Q98+1),12,31)</f>
        <v>43100</v>
      </c>
      <c r="S98" s="661">
        <f t="shared" ref="S98" si="10">DATE(YEAR(R98+1),12,31)</f>
        <v>43465</v>
      </c>
      <c r="T98" s="661">
        <f>DATE(YEAR(S98+1),12,31)</f>
        <v>43830</v>
      </c>
      <c r="U98" s="661">
        <f t="shared" ref="U98:BI98" si="11">DATE(YEAR(T98+1),12,31)</f>
        <v>44196</v>
      </c>
      <c r="V98" s="661">
        <f t="shared" si="11"/>
        <v>44561</v>
      </c>
      <c r="W98" s="661">
        <f t="shared" si="11"/>
        <v>44926</v>
      </c>
      <c r="X98" s="661">
        <f t="shared" si="11"/>
        <v>45291</v>
      </c>
      <c r="Y98" s="661">
        <f t="shared" si="11"/>
        <v>45657</v>
      </c>
      <c r="Z98" s="661">
        <f t="shared" si="11"/>
        <v>46022</v>
      </c>
      <c r="AA98" s="661">
        <f t="shared" si="11"/>
        <v>46387</v>
      </c>
      <c r="AB98" s="661">
        <f t="shared" si="11"/>
        <v>46752</v>
      </c>
      <c r="AC98" s="661">
        <f t="shared" si="11"/>
        <v>47118</v>
      </c>
      <c r="AD98" s="661">
        <f t="shared" si="11"/>
        <v>47483</v>
      </c>
      <c r="AE98" s="661">
        <f t="shared" si="11"/>
        <v>47848</v>
      </c>
      <c r="AF98" s="661">
        <f t="shared" si="11"/>
        <v>48213</v>
      </c>
      <c r="AG98" s="661">
        <f t="shared" si="11"/>
        <v>48579</v>
      </c>
      <c r="AH98" s="661">
        <f t="shared" si="11"/>
        <v>48944</v>
      </c>
      <c r="AI98" s="661">
        <f t="shared" si="11"/>
        <v>49309</v>
      </c>
      <c r="AJ98" s="661">
        <f t="shared" si="11"/>
        <v>49674</v>
      </c>
      <c r="AK98" s="661">
        <f t="shared" si="11"/>
        <v>50040</v>
      </c>
      <c r="AL98" s="661">
        <f t="shared" si="11"/>
        <v>50405</v>
      </c>
      <c r="AM98" s="661">
        <f t="shared" si="11"/>
        <v>50770</v>
      </c>
      <c r="AN98" s="661">
        <f t="shared" si="11"/>
        <v>51135</v>
      </c>
      <c r="AO98" s="661">
        <f t="shared" si="11"/>
        <v>51501</v>
      </c>
      <c r="AP98" s="661">
        <f t="shared" si="11"/>
        <v>51866</v>
      </c>
      <c r="AQ98" s="661">
        <f t="shared" si="11"/>
        <v>52231</v>
      </c>
      <c r="AR98" s="661">
        <f t="shared" si="11"/>
        <v>52596</v>
      </c>
      <c r="AS98" s="661">
        <f t="shared" si="11"/>
        <v>52962</v>
      </c>
      <c r="AT98" s="661">
        <f t="shared" si="11"/>
        <v>53327</v>
      </c>
      <c r="AU98" s="661">
        <f t="shared" si="11"/>
        <v>53692</v>
      </c>
      <c r="AV98" s="661">
        <f t="shared" si="11"/>
        <v>54057</v>
      </c>
      <c r="AW98" s="661">
        <f t="shared" si="11"/>
        <v>54423</v>
      </c>
      <c r="AX98" s="661">
        <f t="shared" si="11"/>
        <v>54788</v>
      </c>
      <c r="AY98" s="661">
        <f t="shared" si="11"/>
        <v>55153</v>
      </c>
      <c r="AZ98" s="661">
        <f t="shared" si="11"/>
        <v>55518</v>
      </c>
      <c r="BA98" s="661">
        <f t="shared" si="11"/>
        <v>55884</v>
      </c>
      <c r="BB98" s="661">
        <f t="shared" si="11"/>
        <v>56249</v>
      </c>
      <c r="BC98" s="661">
        <f t="shared" si="11"/>
        <v>56614</v>
      </c>
      <c r="BD98" s="661">
        <f t="shared" si="11"/>
        <v>56979</v>
      </c>
      <c r="BE98" s="661">
        <f t="shared" si="11"/>
        <v>57345</v>
      </c>
      <c r="BF98" s="661">
        <f t="shared" si="11"/>
        <v>57710</v>
      </c>
      <c r="BG98" s="661">
        <f t="shared" si="11"/>
        <v>58075</v>
      </c>
      <c r="BH98" s="661">
        <f t="shared" si="11"/>
        <v>58440</v>
      </c>
      <c r="BI98" s="661">
        <f t="shared" si="11"/>
        <v>58806</v>
      </c>
    </row>
    <row r="99" spans="1:61" ht="33" hidden="1" outlineLevel="1">
      <c r="A99" s="8" t="s">
        <v>669</v>
      </c>
      <c r="B99" s="3"/>
      <c r="C99" s="3"/>
      <c r="D99" s="3"/>
      <c r="E99" s="3"/>
      <c r="F99" s="3"/>
      <c r="G99" s="3"/>
      <c r="H99" s="3"/>
      <c r="I99" s="3"/>
      <c r="J99" s="3"/>
      <c r="K99" s="3"/>
      <c r="L99" s="3"/>
      <c r="M99" s="3"/>
      <c r="N99" s="3"/>
      <c r="O99" s="3"/>
      <c r="P99" s="3"/>
      <c r="Q99" s="77">
        <f>$P$84</f>
        <v>80</v>
      </c>
      <c r="R99" s="101">
        <f>Q99+($U99-$Q99)/($U$97-$Q$97)</f>
        <v>80</v>
      </c>
      <c r="S99" s="7">
        <f t="shared" ref="S99:T99" si="12">R99+($U99-$Q99)/($U$97-$Q$97)</f>
        <v>80</v>
      </c>
      <c r="T99" s="102">
        <f t="shared" si="12"/>
        <v>80</v>
      </c>
      <c r="U99" s="103">
        <f>$P$84</f>
        <v>80</v>
      </c>
      <c r="V99" s="101">
        <f>U99+($Z99-$U99)/($Z$97-$U$97)</f>
        <v>97</v>
      </c>
      <c r="W99" s="7">
        <f t="shared" ref="W99:Y99" si="13">V99+($Z99-$U99)/($Z$97-$U$97)</f>
        <v>114</v>
      </c>
      <c r="X99" s="7">
        <f t="shared" si="13"/>
        <v>131</v>
      </c>
      <c r="Y99" s="7">
        <f t="shared" si="13"/>
        <v>148</v>
      </c>
      <c r="Z99" s="103">
        <f>$Q$84</f>
        <v>165</v>
      </c>
      <c r="AA99" s="7">
        <f>Z99+($AE99-$Z99)/($AE$97-$Z$97)</f>
        <v>182</v>
      </c>
      <c r="AB99" s="7">
        <f t="shared" ref="AB99:AD99" si="14">AA99+($AE99-$Z99)/($AE$97-$Z$97)</f>
        <v>199</v>
      </c>
      <c r="AC99" s="7">
        <f t="shared" si="14"/>
        <v>216</v>
      </c>
      <c r="AD99" s="7">
        <f t="shared" si="14"/>
        <v>233</v>
      </c>
      <c r="AE99" s="103">
        <f>$R$84</f>
        <v>250</v>
      </c>
      <c r="AF99" s="7">
        <f>AE99+($AJ99-$AE99)/($AJ$97-$AE$97)</f>
        <v>278</v>
      </c>
      <c r="AG99" s="7">
        <f t="shared" ref="AG99:AI99" si="15">AF99+($AJ99-$AE99)/($AJ$97-$AE$97)</f>
        <v>306</v>
      </c>
      <c r="AH99" s="7">
        <f t="shared" si="15"/>
        <v>334</v>
      </c>
      <c r="AI99" s="7">
        <f t="shared" si="15"/>
        <v>362</v>
      </c>
      <c r="AJ99" s="103">
        <f>$S$84</f>
        <v>390</v>
      </c>
      <c r="AK99" s="7">
        <f>AJ99+($AO99-$AJ99)/($AO$97-$AJ$97)</f>
        <v>417</v>
      </c>
      <c r="AL99" s="7">
        <f t="shared" ref="AL99:AN99" si="16">AK99+($AO99-$AJ99)/($AO$97-$AJ$97)</f>
        <v>444</v>
      </c>
      <c r="AM99" s="7">
        <f t="shared" si="16"/>
        <v>471</v>
      </c>
      <c r="AN99" s="7">
        <f t="shared" si="16"/>
        <v>498</v>
      </c>
      <c r="AO99" s="103">
        <f>$T$84</f>
        <v>525</v>
      </c>
      <c r="AP99" s="7">
        <f>AO99+($AT99-$AO99)/($AT$97-$AO$97)</f>
        <v>552</v>
      </c>
      <c r="AQ99" s="7">
        <f t="shared" ref="AQ99:AS99" si="17">AP99+($AT99-$AO99)/($AT$97-$AO$97)</f>
        <v>579</v>
      </c>
      <c r="AR99" s="7">
        <f t="shared" si="17"/>
        <v>606</v>
      </c>
      <c r="AS99" s="7">
        <f t="shared" si="17"/>
        <v>633</v>
      </c>
      <c r="AT99" s="103">
        <f>$U$84</f>
        <v>660</v>
      </c>
      <c r="AU99" s="7">
        <f>AT99+($AY99-$AT99)/($AY$97-$AT$97)</f>
        <v>688</v>
      </c>
      <c r="AV99" s="7">
        <f t="shared" ref="AV99:AX99" si="18">AU99+($AY99-$AT99)/($AY$97-$AT$97)</f>
        <v>716</v>
      </c>
      <c r="AW99" s="7">
        <f t="shared" si="18"/>
        <v>744</v>
      </c>
      <c r="AX99" s="7">
        <f t="shared" si="18"/>
        <v>772</v>
      </c>
      <c r="AY99" s="103">
        <f>$V$84</f>
        <v>800</v>
      </c>
      <c r="AZ99" s="7">
        <f>AY99</f>
        <v>800</v>
      </c>
      <c r="BA99" s="7">
        <f t="shared" ref="BA99:BI99" si="19">AZ99</f>
        <v>800</v>
      </c>
      <c r="BB99" s="7">
        <f t="shared" si="19"/>
        <v>800</v>
      </c>
      <c r="BC99" s="7">
        <f t="shared" si="19"/>
        <v>800</v>
      </c>
      <c r="BD99" s="7">
        <f t="shared" si="19"/>
        <v>800</v>
      </c>
      <c r="BE99" s="7">
        <f t="shared" si="19"/>
        <v>800</v>
      </c>
      <c r="BF99" s="7">
        <f t="shared" si="19"/>
        <v>800</v>
      </c>
      <c r="BG99" s="7">
        <f t="shared" si="19"/>
        <v>800</v>
      </c>
      <c r="BH99" s="7">
        <f t="shared" si="19"/>
        <v>800</v>
      </c>
      <c r="BI99" s="7">
        <f t="shared" si="19"/>
        <v>800</v>
      </c>
    </row>
    <row r="100" spans="1:61" hidden="1" outlineLevel="1">
      <c r="A100" s="15" t="s">
        <v>670</v>
      </c>
      <c r="B100" s="16"/>
      <c r="C100" s="16"/>
      <c r="D100" s="16"/>
      <c r="E100" s="16"/>
      <c r="F100" s="16"/>
      <c r="G100" s="16"/>
      <c r="H100" s="16"/>
      <c r="I100" s="16"/>
      <c r="J100" s="16"/>
      <c r="K100" s="16"/>
      <c r="L100" s="16"/>
      <c r="M100" s="16"/>
      <c r="N100" s="16"/>
      <c r="O100" s="16"/>
      <c r="P100" s="16"/>
      <c r="Q100" s="18"/>
      <c r="R100" s="17">
        <f t="shared" ref="R100:BI100" si="20">R99-Q99</f>
        <v>0</v>
      </c>
      <c r="S100" s="17">
        <f t="shared" si="20"/>
        <v>0</v>
      </c>
      <c r="T100" s="17">
        <f t="shared" si="20"/>
        <v>0</v>
      </c>
      <c r="U100" s="17">
        <f t="shared" si="20"/>
        <v>0</v>
      </c>
      <c r="V100" s="17">
        <f t="shared" si="20"/>
        <v>17</v>
      </c>
      <c r="W100" s="17">
        <f t="shared" si="20"/>
        <v>17</v>
      </c>
      <c r="X100" s="17">
        <f t="shared" si="20"/>
        <v>17</v>
      </c>
      <c r="Y100" s="17">
        <f t="shared" si="20"/>
        <v>17</v>
      </c>
      <c r="Z100" s="17">
        <f t="shared" si="20"/>
        <v>17</v>
      </c>
      <c r="AA100" s="17">
        <f t="shared" si="20"/>
        <v>17</v>
      </c>
      <c r="AB100" s="17">
        <f t="shared" si="20"/>
        <v>17</v>
      </c>
      <c r="AC100" s="17">
        <f t="shared" si="20"/>
        <v>17</v>
      </c>
      <c r="AD100" s="17">
        <f t="shared" si="20"/>
        <v>17</v>
      </c>
      <c r="AE100" s="17">
        <f t="shared" si="20"/>
        <v>17</v>
      </c>
      <c r="AF100" s="17">
        <f t="shared" si="20"/>
        <v>28</v>
      </c>
      <c r="AG100" s="17">
        <f t="shared" si="20"/>
        <v>28</v>
      </c>
      <c r="AH100" s="17">
        <f t="shared" si="20"/>
        <v>28</v>
      </c>
      <c r="AI100" s="17">
        <f t="shared" si="20"/>
        <v>28</v>
      </c>
      <c r="AJ100" s="17">
        <f t="shared" si="20"/>
        <v>28</v>
      </c>
      <c r="AK100" s="17">
        <f t="shared" si="20"/>
        <v>27</v>
      </c>
      <c r="AL100" s="17">
        <f t="shared" si="20"/>
        <v>27</v>
      </c>
      <c r="AM100" s="17">
        <f t="shared" si="20"/>
        <v>27</v>
      </c>
      <c r="AN100" s="17">
        <f t="shared" si="20"/>
        <v>27</v>
      </c>
      <c r="AO100" s="17">
        <f t="shared" si="20"/>
        <v>27</v>
      </c>
      <c r="AP100" s="17">
        <f t="shared" si="20"/>
        <v>27</v>
      </c>
      <c r="AQ100" s="17">
        <f t="shared" si="20"/>
        <v>27</v>
      </c>
      <c r="AR100" s="17">
        <f t="shared" si="20"/>
        <v>27</v>
      </c>
      <c r="AS100" s="17">
        <f t="shared" si="20"/>
        <v>27</v>
      </c>
      <c r="AT100" s="17">
        <f t="shared" si="20"/>
        <v>27</v>
      </c>
      <c r="AU100" s="17">
        <f t="shared" si="20"/>
        <v>28</v>
      </c>
      <c r="AV100" s="17">
        <f t="shared" si="20"/>
        <v>28</v>
      </c>
      <c r="AW100" s="17">
        <f t="shared" si="20"/>
        <v>28</v>
      </c>
      <c r="AX100" s="17">
        <f t="shared" si="20"/>
        <v>28</v>
      </c>
      <c r="AY100" s="17">
        <f t="shared" si="20"/>
        <v>28</v>
      </c>
      <c r="AZ100" s="17">
        <f t="shared" si="20"/>
        <v>0</v>
      </c>
      <c r="BA100" s="17">
        <f t="shared" si="20"/>
        <v>0</v>
      </c>
      <c r="BB100" s="17">
        <f t="shared" si="20"/>
        <v>0</v>
      </c>
      <c r="BC100" s="17">
        <f t="shared" si="20"/>
        <v>0</v>
      </c>
      <c r="BD100" s="17">
        <f t="shared" si="20"/>
        <v>0</v>
      </c>
      <c r="BE100" s="17">
        <f t="shared" si="20"/>
        <v>0</v>
      </c>
      <c r="BF100" s="17">
        <f t="shared" si="20"/>
        <v>0</v>
      </c>
      <c r="BG100" s="17">
        <f t="shared" si="20"/>
        <v>0</v>
      </c>
      <c r="BH100" s="17">
        <f t="shared" si="20"/>
        <v>0</v>
      </c>
      <c r="BI100" s="17">
        <f t="shared" si="20"/>
        <v>0</v>
      </c>
    </row>
    <row r="101" spans="1:61" ht="48" hidden="1" outlineLevel="1">
      <c r="A101" s="8" t="s">
        <v>865</v>
      </c>
      <c r="B101" s="3"/>
      <c r="C101" s="3"/>
      <c r="D101" s="3"/>
      <c r="E101" s="3"/>
      <c r="F101" s="3"/>
      <c r="G101" s="3"/>
      <c r="H101" s="3"/>
      <c r="I101" s="3"/>
      <c r="J101" s="3"/>
      <c r="K101" s="3"/>
      <c r="L101" s="3"/>
      <c r="M101" s="3"/>
      <c r="N101" s="3"/>
      <c r="O101" s="3"/>
      <c r="P101" s="3"/>
      <c r="Q101" s="7">
        <f>Q$99*$Q$88*Q$93</f>
        <v>349.05599999999998</v>
      </c>
      <c r="R101" s="7">
        <f t="shared" ref="R101:BI101" si="21">R$99*$Q$88*R$93</f>
        <v>356.03712000000002</v>
      </c>
      <c r="S101" s="7">
        <f t="shared" si="21"/>
        <v>361.73371392000001</v>
      </c>
      <c r="T101" s="7">
        <f t="shared" si="21"/>
        <v>370.05358934015999</v>
      </c>
      <c r="U101" s="7">
        <f t="shared" si="21"/>
        <v>382.6354113777254</v>
      </c>
      <c r="V101" s="7">
        <f t="shared" si="21"/>
        <v>487.60665354656209</v>
      </c>
      <c r="W101" s="7">
        <f t="shared" si="21"/>
        <v>655.58463225699438</v>
      </c>
      <c r="X101" s="7">
        <f t="shared" si="21"/>
        <v>839.22883968238784</v>
      </c>
      <c r="Y101" s="7">
        <f t="shared" si="21"/>
        <v>948.13639903048397</v>
      </c>
      <c r="Z101" s="7">
        <f t="shared" si="21"/>
        <v>1057.0439583785801</v>
      </c>
      <c r="AA101" s="7">
        <f t="shared" si="21"/>
        <v>1165.9515177266762</v>
      </c>
      <c r="AB101" s="7">
        <f t="shared" si="21"/>
        <v>1274.8590770747724</v>
      </c>
      <c r="AC101" s="7">
        <f t="shared" si="21"/>
        <v>1383.7666364228685</v>
      </c>
      <c r="AD101" s="7">
        <f t="shared" si="21"/>
        <v>1492.6741957709646</v>
      </c>
      <c r="AE101" s="7">
        <f t="shared" si="21"/>
        <v>1601.5817551190607</v>
      </c>
      <c r="AF101" s="7">
        <f t="shared" si="21"/>
        <v>1780.9589116923955</v>
      </c>
      <c r="AG101" s="7">
        <f t="shared" si="21"/>
        <v>1960.3360682657305</v>
      </c>
      <c r="AH101" s="7">
        <f t="shared" si="21"/>
        <v>2139.7132248390653</v>
      </c>
      <c r="AI101" s="7">
        <f t="shared" si="21"/>
        <v>2319.0903814123999</v>
      </c>
      <c r="AJ101" s="7">
        <f t="shared" si="21"/>
        <v>2498.4675379857349</v>
      </c>
      <c r="AK101" s="7">
        <f t="shared" si="21"/>
        <v>2671.4383675385934</v>
      </c>
      <c r="AL101" s="7">
        <f t="shared" si="21"/>
        <v>2844.4091970914519</v>
      </c>
      <c r="AM101" s="7">
        <f t="shared" si="21"/>
        <v>3017.3800266443104</v>
      </c>
      <c r="AN101" s="7">
        <f t="shared" si="21"/>
        <v>3190.3508561971689</v>
      </c>
      <c r="AO101" s="7">
        <f t="shared" si="21"/>
        <v>3363.3216857500274</v>
      </c>
      <c r="AP101" s="7">
        <f t="shared" si="21"/>
        <v>3536.2925153028859</v>
      </c>
      <c r="AQ101" s="7">
        <f t="shared" si="21"/>
        <v>3709.2633448557449</v>
      </c>
      <c r="AR101" s="7">
        <f t="shared" si="21"/>
        <v>3882.2341744086034</v>
      </c>
      <c r="AS101" s="7">
        <f t="shared" si="21"/>
        <v>4055.2050039614619</v>
      </c>
      <c r="AT101" s="7">
        <f t="shared" si="21"/>
        <v>4228.1758335143204</v>
      </c>
      <c r="AU101" s="7">
        <f t="shared" si="21"/>
        <v>4407.5529900876554</v>
      </c>
      <c r="AV101" s="7">
        <f t="shared" si="21"/>
        <v>4586.9301466609904</v>
      </c>
      <c r="AW101" s="7">
        <f t="shared" si="21"/>
        <v>4766.3073032343254</v>
      </c>
      <c r="AX101" s="7">
        <f t="shared" si="21"/>
        <v>4945.6844598076596</v>
      </c>
      <c r="AY101" s="7">
        <f t="shared" si="21"/>
        <v>5125.0616163809946</v>
      </c>
      <c r="AZ101" s="7">
        <f t="shared" si="21"/>
        <v>5125.0616163809946</v>
      </c>
      <c r="BA101" s="7">
        <f t="shared" si="21"/>
        <v>5125.0616163809946</v>
      </c>
      <c r="BB101" s="7">
        <f t="shared" si="21"/>
        <v>5125.0616163809946</v>
      </c>
      <c r="BC101" s="7">
        <f t="shared" si="21"/>
        <v>5125.0616163809946</v>
      </c>
      <c r="BD101" s="7">
        <f t="shared" si="21"/>
        <v>5125.0616163809946</v>
      </c>
      <c r="BE101" s="7">
        <f t="shared" si="21"/>
        <v>5125.0616163809946</v>
      </c>
      <c r="BF101" s="7">
        <f t="shared" si="21"/>
        <v>5125.0616163809946</v>
      </c>
      <c r="BG101" s="7">
        <f t="shared" si="21"/>
        <v>5125.0616163809946</v>
      </c>
      <c r="BH101" s="7">
        <f t="shared" si="21"/>
        <v>5125.0616163809946</v>
      </c>
      <c r="BI101" s="7">
        <f t="shared" si="21"/>
        <v>5125.0616163809946</v>
      </c>
    </row>
    <row r="102" spans="1:61" hidden="1" outlineLevel="1"/>
    <row r="103" spans="1:61" hidden="1" outlineLevel="1"/>
    <row r="104" spans="1:61" s="592" customFormat="1" ht="18" collapsed="1">
      <c r="A104" s="1" t="s">
        <v>499</v>
      </c>
    </row>
    <row r="105" spans="1:61" s="592" customFormat="1">
      <c r="A105" s="588"/>
      <c r="B105" s="589"/>
      <c r="C105" s="589"/>
      <c r="D105" s="589"/>
      <c r="E105" s="589"/>
      <c r="F105" s="589"/>
      <c r="G105" s="589"/>
      <c r="H105" s="589"/>
      <c r="I105" s="589"/>
      <c r="J105" s="589"/>
      <c r="K105" s="589"/>
      <c r="L105" s="589"/>
      <c r="M105" s="589"/>
      <c r="N105" s="589"/>
      <c r="O105" s="589"/>
      <c r="P105" s="588"/>
      <c r="Q105" s="588">
        <v>2016</v>
      </c>
      <c r="R105" s="588">
        <f t="shared" ref="R105:S105" si="22">Q105+1</f>
        <v>2017</v>
      </c>
      <c r="S105" s="588">
        <f t="shared" si="22"/>
        <v>2018</v>
      </c>
      <c r="T105" s="588">
        <f>S105+1</f>
        <v>2019</v>
      </c>
      <c r="U105" s="588">
        <f t="shared" ref="U105" si="23">T105+1</f>
        <v>2020</v>
      </c>
      <c r="V105" s="588">
        <f t="shared" ref="V105" si="24">U105+1</f>
        <v>2021</v>
      </c>
      <c r="W105" s="588">
        <f t="shared" ref="W105" si="25">V105+1</f>
        <v>2022</v>
      </c>
      <c r="X105" s="588">
        <f t="shared" ref="X105" si="26">W105+1</f>
        <v>2023</v>
      </c>
      <c r="Y105" s="588">
        <f t="shared" ref="Y105" si="27">X105+1</f>
        <v>2024</v>
      </c>
      <c r="Z105" s="588">
        <f t="shared" ref="Z105" si="28">Y105+1</f>
        <v>2025</v>
      </c>
      <c r="AA105" s="588">
        <f t="shared" ref="AA105" si="29">Z105+1</f>
        <v>2026</v>
      </c>
      <c r="AB105" s="588">
        <f t="shared" ref="AB105" si="30">AA105+1</f>
        <v>2027</v>
      </c>
      <c r="AC105" s="588">
        <f t="shared" ref="AC105" si="31">AB105+1</f>
        <v>2028</v>
      </c>
      <c r="AD105" s="588">
        <f t="shared" ref="AD105" si="32">AC105+1</f>
        <v>2029</v>
      </c>
      <c r="AE105" s="588">
        <f t="shared" ref="AE105" si="33">AD105+1</f>
        <v>2030</v>
      </c>
      <c r="AF105" s="588">
        <f t="shared" ref="AF105" si="34">AE105+1</f>
        <v>2031</v>
      </c>
      <c r="AG105" s="588">
        <f t="shared" ref="AG105" si="35">AF105+1</f>
        <v>2032</v>
      </c>
      <c r="AH105" s="588">
        <f t="shared" ref="AH105" si="36">AG105+1</f>
        <v>2033</v>
      </c>
      <c r="AI105" s="588">
        <f t="shared" ref="AI105" si="37">AH105+1</f>
        <v>2034</v>
      </c>
      <c r="AJ105" s="588">
        <f t="shared" ref="AJ105" si="38">AI105+1</f>
        <v>2035</v>
      </c>
      <c r="AK105" s="588">
        <f t="shared" ref="AK105" si="39">AJ105+1</f>
        <v>2036</v>
      </c>
      <c r="AL105" s="588">
        <f t="shared" ref="AL105" si="40">AK105+1</f>
        <v>2037</v>
      </c>
      <c r="AM105" s="588">
        <f t="shared" ref="AM105" si="41">AL105+1</f>
        <v>2038</v>
      </c>
      <c r="AN105" s="588">
        <f t="shared" ref="AN105" si="42">AM105+1</f>
        <v>2039</v>
      </c>
      <c r="AO105" s="588">
        <f t="shared" ref="AO105" si="43">AN105+1</f>
        <v>2040</v>
      </c>
      <c r="AP105" s="588">
        <f t="shared" ref="AP105" si="44">AO105+1</f>
        <v>2041</v>
      </c>
      <c r="AQ105" s="588">
        <f t="shared" ref="AQ105" si="45">AP105+1</f>
        <v>2042</v>
      </c>
      <c r="AR105" s="588">
        <f t="shared" ref="AR105" si="46">AQ105+1</f>
        <v>2043</v>
      </c>
      <c r="AS105" s="588">
        <f t="shared" ref="AS105" si="47">AR105+1</f>
        <v>2044</v>
      </c>
      <c r="AT105" s="588">
        <f t="shared" ref="AT105" si="48">AS105+1</f>
        <v>2045</v>
      </c>
      <c r="AU105" s="588">
        <f t="shared" ref="AU105" si="49">AT105+1</f>
        <v>2046</v>
      </c>
      <c r="AV105" s="588">
        <f t="shared" ref="AV105" si="50">AU105+1</f>
        <v>2047</v>
      </c>
      <c r="AW105" s="588">
        <f t="shared" ref="AW105" si="51">AV105+1</f>
        <v>2048</v>
      </c>
      <c r="AX105" s="588">
        <f t="shared" ref="AX105" si="52">AW105+1</f>
        <v>2049</v>
      </c>
      <c r="AY105" s="588">
        <f t="shared" ref="AY105" si="53">AX105+1</f>
        <v>2050</v>
      </c>
      <c r="AZ105" s="588">
        <f t="shared" ref="AZ105" si="54">AY105+1</f>
        <v>2051</v>
      </c>
      <c r="BA105" s="588">
        <f t="shared" ref="BA105" si="55">AZ105+1</f>
        <v>2052</v>
      </c>
      <c r="BB105" s="588">
        <f t="shared" ref="BB105" si="56">BA105+1</f>
        <v>2053</v>
      </c>
      <c r="BC105" s="588">
        <f t="shared" ref="BC105" si="57">BB105+1</f>
        <v>2054</v>
      </c>
      <c r="BD105" s="588">
        <f t="shared" ref="BD105" si="58">BC105+1</f>
        <v>2055</v>
      </c>
      <c r="BE105" s="588">
        <f t="shared" ref="BE105" si="59">BD105+1</f>
        <v>2056</v>
      </c>
      <c r="BF105" s="588">
        <f t="shared" ref="BF105" si="60">BE105+1</f>
        <v>2057</v>
      </c>
      <c r="BG105" s="588">
        <f t="shared" ref="BG105" si="61">BF105+1</f>
        <v>2058</v>
      </c>
      <c r="BH105" s="588">
        <f t="shared" ref="BH105" si="62">BG105+1</f>
        <v>2059</v>
      </c>
      <c r="BI105" s="588">
        <f t="shared" ref="BI105" si="63">BH105+1</f>
        <v>2060</v>
      </c>
    </row>
    <row r="106" spans="1:61" s="592" customFormat="1" ht="33">
      <c r="A106" s="643" t="s">
        <v>500</v>
      </c>
      <c r="B106" s="514"/>
      <c r="C106" s="514"/>
      <c r="D106" s="514"/>
      <c r="E106" s="514"/>
      <c r="F106" s="514"/>
      <c r="G106" s="514"/>
      <c r="H106" s="514"/>
      <c r="I106" s="514"/>
      <c r="J106" s="514"/>
      <c r="K106" s="514"/>
      <c r="L106" s="514"/>
      <c r="M106" s="514"/>
      <c r="N106" s="514"/>
      <c r="O106" s="514"/>
      <c r="P106" s="514"/>
      <c r="Q106" s="688"/>
      <c r="R106" s="514">
        <f>(R$101-Q$101)/Q$101</f>
        <v>2.0000000000000094E-2</v>
      </c>
      <c r="S106" s="514">
        <f>(S$101-R$101)/R$101</f>
        <v>1.5999999999999993E-2</v>
      </c>
      <c r="T106" s="514">
        <f t="shared" ref="T106:BI106" si="64">(T$101-S$101)/S$101</f>
        <v>2.2999999999999927E-2</v>
      </c>
      <c r="U106" s="514">
        <f t="shared" si="64"/>
        <v>3.399999999999994E-2</v>
      </c>
      <c r="V106" s="514">
        <f t="shared" si="64"/>
        <v>0.27433749999999985</v>
      </c>
      <c r="W106" s="514">
        <f t="shared" si="64"/>
        <v>0.34449484536082503</v>
      </c>
      <c r="X106" s="514">
        <f t="shared" si="64"/>
        <v>0.28012280701754383</v>
      </c>
      <c r="Y106" s="514">
        <f t="shared" si="64"/>
        <v>0.12977099236641221</v>
      </c>
      <c r="Z106" s="514">
        <f t="shared" si="64"/>
        <v>0.11486486486486486</v>
      </c>
      <c r="AA106" s="514">
        <f t="shared" si="64"/>
        <v>0.10303030303030303</v>
      </c>
      <c r="AB106" s="514">
        <f t="shared" si="64"/>
        <v>9.3406593406593408E-2</v>
      </c>
      <c r="AC106" s="514">
        <f t="shared" si="64"/>
        <v>8.5427135678391955E-2</v>
      </c>
      <c r="AD106" s="514">
        <f t="shared" si="64"/>
        <v>7.8703703703703706E-2</v>
      </c>
      <c r="AE106" s="514">
        <f t="shared" si="64"/>
        <v>7.2961373390557943E-2</v>
      </c>
      <c r="AF106" s="514">
        <f t="shared" si="64"/>
        <v>0.11199999999999999</v>
      </c>
      <c r="AG106" s="514">
        <f t="shared" si="64"/>
        <v>0.10071942446043178</v>
      </c>
      <c r="AH106" s="514">
        <f t="shared" si="64"/>
        <v>9.1503267973856189E-2</v>
      </c>
      <c r="AI106" s="514">
        <f t="shared" si="64"/>
        <v>8.3832335329341201E-2</v>
      </c>
      <c r="AJ106" s="514">
        <f t="shared" si="64"/>
        <v>7.7348066298342635E-2</v>
      </c>
      <c r="AK106" s="514">
        <f t="shared" si="64"/>
        <v>6.9230769230769207E-2</v>
      </c>
      <c r="AL106" s="514">
        <f t="shared" si="64"/>
        <v>6.4748201438848893E-2</v>
      </c>
      <c r="AM106" s="514">
        <f t="shared" si="64"/>
        <v>6.0810810810810793E-2</v>
      </c>
      <c r="AN106" s="514">
        <f t="shared" si="64"/>
        <v>5.7324840764331191E-2</v>
      </c>
      <c r="AO106" s="514">
        <f t="shared" si="64"/>
        <v>5.4216867469879498E-2</v>
      </c>
      <c r="AP106" s="514">
        <f t="shared" si="64"/>
        <v>5.1428571428571414E-2</v>
      </c>
      <c r="AQ106" s="514">
        <f t="shared" si="64"/>
        <v>4.8913043478260983E-2</v>
      </c>
      <c r="AR106" s="514">
        <f t="shared" si="64"/>
        <v>4.6632124352331591E-2</v>
      </c>
      <c r="AS106" s="514">
        <f t="shared" si="64"/>
        <v>4.4554455445544539E-2</v>
      </c>
      <c r="AT106" s="514">
        <f t="shared" si="64"/>
        <v>4.265402843601894E-2</v>
      </c>
      <c r="AU106" s="514">
        <f t="shared" si="64"/>
        <v>4.2424242424242475E-2</v>
      </c>
      <c r="AV106" s="514">
        <f t="shared" si="64"/>
        <v>4.0697674418604696E-2</v>
      </c>
      <c r="AW106" s="514">
        <f t="shared" si="64"/>
        <v>3.910614525139669E-2</v>
      </c>
      <c r="AX106" s="514">
        <f t="shared" si="64"/>
        <v>3.7634408602150386E-2</v>
      </c>
      <c r="AY106" s="514">
        <f t="shared" si="64"/>
        <v>3.6269430051813517E-2</v>
      </c>
      <c r="AZ106" s="514">
        <f t="shared" si="64"/>
        <v>0</v>
      </c>
      <c r="BA106" s="514">
        <f t="shared" si="64"/>
        <v>0</v>
      </c>
      <c r="BB106" s="514">
        <f t="shared" si="64"/>
        <v>0</v>
      </c>
      <c r="BC106" s="514">
        <f t="shared" si="64"/>
        <v>0</v>
      </c>
      <c r="BD106" s="514">
        <f t="shared" si="64"/>
        <v>0</v>
      </c>
      <c r="BE106" s="514">
        <f t="shared" si="64"/>
        <v>0</v>
      </c>
      <c r="BF106" s="514">
        <f t="shared" si="64"/>
        <v>0</v>
      </c>
      <c r="BG106" s="514">
        <f t="shared" si="64"/>
        <v>0</v>
      </c>
      <c r="BH106" s="514">
        <f t="shared" si="64"/>
        <v>0</v>
      </c>
      <c r="BI106" s="514">
        <f t="shared" si="64"/>
        <v>0</v>
      </c>
    </row>
    <row r="107" spans="1:61" s="672" customFormat="1" ht="48">
      <c r="A107" s="671" t="s">
        <v>797</v>
      </c>
      <c r="B107" s="514"/>
      <c r="C107" s="514"/>
      <c r="D107" s="514"/>
      <c r="E107" s="514"/>
      <c r="F107" s="514"/>
      <c r="G107" s="514"/>
      <c r="H107" s="514"/>
      <c r="I107" s="514"/>
      <c r="J107" s="514"/>
      <c r="K107" s="514"/>
      <c r="L107" s="514"/>
      <c r="M107" s="514"/>
      <c r="N107" s="514"/>
      <c r="O107" s="514"/>
      <c r="P107" s="514"/>
      <c r="Q107" s="514">
        <f t="shared" ref="Q107:R107" si="65">(Q$101-$Q$101)/$Q$101</f>
        <v>0</v>
      </c>
      <c r="R107" s="514">
        <f t="shared" si="65"/>
        <v>2.0000000000000094E-2</v>
      </c>
      <c r="S107" s="514">
        <f>(S$101-$Q$101)/$Q$101</f>
        <v>3.6320000000000088E-2</v>
      </c>
      <c r="T107" s="514">
        <f t="shared" ref="T107:BI107" si="66">(T$101-$Q$101)/$Q$101</f>
        <v>6.0155360000000019E-2</v>
      </c>
      <c r="U107" s="514">
        <f t="shared" si="66"/>
        <v>9.6200642239999953E-2</v>
      </c>
      <c r="V107" s="514">
        <f t="shared" si="66"/>
        <v>0.39692958593051575</v>
      </c>
      <c r="W107" s="514">
        <f t="shared" si="66"/>
        <v>0.87816462761561009</v>
      </c>
      <c r="X107" s="514">
        <f t="shared" si="66"/>
        <v>1.4042813751443548</v>
      </c>
      <c r="Y107" s="514">
        <f t="shared" si="66"/>
        <v>1.7162873551249196</v>
      </c>
      <c r="Z107" s="514">
        <f t="shared" si="66"/>
        <v>2.0282933351054848</v>
      </c>
      <c r="AA107" s="514">
        <f t="shared" si="66"/>
        <v>2.34029931508605</v>
      </c>
      <c r="AB107" s="514">
        <f t="shared" si="66"/>
        <v>2.6523052950666148</v>
      </c>
      <c r="AC107" s="514">
        <f t="shared" si="66"/>
        <v>2.9643112750471801</v>
      </c>
      <c r="AD107" s="514">
        <f t="shared" si="66"/>
        <v>3.2763172550277453</v>
      </c>
      <c r="AE107" s="514">
        <f t="shared" si="66"/>
        <v>3.5883232350083105</v>
      </c>
      <c r="AF107" s="514">
        <f t="shared" si="66"/>
        <v>4.1022154373292414</v>
      </c>
      <c r="AG107" s="514">
        <f t="shared" si="66"/>
        <v>4.6161076396501723</v>
      </c>
      <c r="AH107" s="514">
        <f t="shared" si="66"/>
        <v>5.1299998419711033</v>
      </c>
      <c r="AI107" s="514">
        <f t="shared" si="66"/>
        <v>5.6438920442920333</v>
      </c>
      <c r="AJ107" s="514">
        <f t="shared" si="66"/>
        <v>6.1577842466129642</v>
      </c>
      <c r="AK107" s="514">
        <f t="shared" si="66"/>
        <v>6.6533231559938617</v>
      </c>
      <c r="AL107" s="514">
        <f t="shared" si="66"/>
        <v>7.1488620653747592</v>
      </c>
      <c r="AM107" s="514">
        <f t="shared" si="66"/>
        <v>7.6444009747556567</v>
      </c>
      <c r="AN107" s="514">
        <f t="shared" si="66"/>
        <v>8.1399398841365542</v>
      </c>
      <c r="AO107" s="514">
        <f t="shared" si="66"/>
        <v>8.6354787935174517</v>
      </c>
      <c r="AP107" s="514">
        <f t="shared" si="66"/>
        <v>9.1310177028983492</v>
      </c>
      <c r="AQ107" s="514">
        <f t="shared" si="66"/>
        <v>9.6265566122792467</v>
      </c>
      <c r="AR107" s="514">
        <f t="shared" si="66"/>
        <v>10.122095521660144</v>
      </c>
      <c r="AS107" s="514">
        <f t="shared" si="66"/>
        <v>10.617634431041042</v>
      </c>
      <c r="AT107" s="514">
        <f t="shared" si="66"/>
        <v>11.113173340421939</v>
      </c>
      <c r="AU107" s="514">
        <f t="shared" si="66"/>
        <v>11.627065542742871</v>
      </c>
      <c r="AV107" s="514">
        <f t="shared" si="66"/>
        <v>12.140957745063803</v>
      </c>
      <c r="AW107" s="514">
        <f t="shared" si="66"/>
        <v>12.654849947384735</v>
      </c>
      <c r="AX107" s="514">
        <f t="shared" si="66"/>
        <v>13.168742149705663</v>
      </c>
      <c r="AY107" s="514">
        <f t="shared" si="66"/>
        <v>13.682634352026595</v>
      </c>
      <c r="AZ107" s="514">
        <f t="shared" si="66"/>
        <v>13.682634352026595</v>
      </c>
      <c r="BA107" s="514">
        <f t="shared" si="66"/>
        <v>13.682634352026595</v>
      </c>
      <c r="BB107" s="514">
        <f t="shared" si="66"/>
        <v>13.682634352026595</v>
      </c>
      <c r="BC107" s="514">
        <f t="shared" si="66"/>
        <v>13.682634352026595</v>
      </c>
      <c r="BD107" s="514">
        <f t="shared" si="66"/>
        <v>13.682634352026595</v>
      </c>
      <c r="BE107" s="514">
        <f t="shared" si="66"/>
        <v>13.682634352026595</v>
      </c>
      <c r="BF107" s="514">
        <f t="shared" si="66"/>
        <v>13.682634352026595</v>
      </c>
      <c r="BG107" s="514">
        <f t="shared" si="66"/>
        <v>13.682634352026595</v>
      </c>
      <c r="BH107" s="514">
        <f t="shared" si="66"/>
        <v>13.682634352026595</v>
      </c>
      <c r="BI107" s="514">
        <f t="shared" si="66"/>
        <v>13.682634352026595</v>
      </c>
    </row>
    <row r="108" spans="1:61" s="592" customFormat="1"/>
    <row r="109" spans="1:61">
      <c r="A109" s="822" t="s">
        <v>908</v>
      </c>
      <c r="B109" s="822"/>
      <c r="C109" s="822"/>
      <c r="D109" s="822"/>
      <c r="E109" s="822"/>
      <c r="F109" s="822"/>
      <c r="G109" s="822"/>
      <c r="H109" s="822"/>
      <c r="I109" s="822"/>
      <c r="J109" s="822"/>
      <c r="K109" s="822"/>
      <c r="L109" s="822"/>
      <c r="M109" s="822"/>
      <c r="N109" s="822"/>
      <c r="O109" s="822"/>
      <c r="P109" s="822"/>
      <c r="Q109" s="822"/>
      <c r="R109" s="822"/>
      <c r="S109" s="822"/>
      <c r="T109" s="822"/>
      <c r="U109" s="822"/>
      <c r="V109" s="822"/>
      <c r="W109" s="311"/>
      <c r="X109" s="311"/>
      <c r="Y109" s="311"/>
      <c r="Z109" s="311"/>
      <c r="AA109" s="311"/>
      <c r="AB109" s="311"/>
      <c r="AC109" s="311"/>
      <c r="AD109" s="311"/>
      <c r="AE109" s="311"/>
      <c r="AF109" s="311"/>
      <c r="AG109" s="311"/>
      <c r="AH109" s="311"/>
      <c r="AI109" s="311"/>
      <c r="AJ109" s="311"/>
      <c r="AK109" s="311"/>
      <c r="AL109" s="311"/>
      <c r="AM109" s="311"/>
      <c r="AN109" s="311"/>
      <c r="AO109" s="311"/>
      <c r="AP109" s="311"/>
      <c r="AQ109" s="311"/>
      <c r="AR109" s="311"/>
      <c r="AS109" s="311"/>
      <c r="AT109" s="311"/>
      <c r="AU109" s="311"/>
      <c r="AV109" s="311"/>
      <c r="AW109" s="311"/>
      <c r="AX109" s="311"/>
      <c r="AY109" s="311"/>
      <c r="AZ109" s="311"/>
      <c r="BA109" s="311"/>
      <c r="BB109" s="311"/>
      <c r="BC109" s="311"/>
      <c r="BD109" s="311"/>
      <c r="BE109" s="311"/>
      <c r="BF109" s="311"/>
      <c r="BG109" s="311"/>
      <c r="BH109" s="311"/>
      <c r="BI109" s="311"/>
    </row>
    <row r="110" spans="1:61" s="668" customFormat="1">
      <c r="A110" s="822"/>
      <c r="B110" s="822"/>
      <c r="C110" s="822"/>
      <c r="D110" s="822"/>
      <c r="E110" s="822"/>
      <c r="F110" s="822"/>
      <c r="G110" s="822"/>
      <c r="H110" s="822"/>
      <c r="I110" s="822"/>
      <c r="J110" s="822"/>
      <c r="K110" s="822"/>
      <c r="L110" s="822"/>
      <c r="M110" s="822"/>
      <c r="N110" s="822"/>
      <c r="O110" s="822"/>
      <c r="P110" s="822"/>
      <c r="Q110" s="822"/>
      <c r="R110" s="822"/>
      <c r="S110" s="822"/>
      <c r="T110" s="822"/>
      <c r="U110" s="822"/>
      <c r="V110" s="822"/>
    </row>
    <row r="111" spans="1:61">
      <c r="A111" s="754" t="str">
        <f>$A$36</f>
        <v xml:space="preserve">Przyjęto uproszczenie, że udziały pojazdów spalinowych używających benzyny i oleju napędowego będą stałe w całym okresie projekcji. Według przeprowadzonych obliczeń, wpływ zmian prognozowanej struktury floty pojazdów spalinowych na zużycie paliwa [ltr/ poj-km] jest nieznaczny. </v>
      </c>
      <c r="B111" s="754"/>
      <c r="C111" s="754"/>
      <c r="D111" s="754"/>
      <c r="E111" s="754"/>
      <c r="F111" s="754"/>
      <c r="G111" s="754"/>
      <c r="H111" s="754"/>
      <c r="I111" s="754"/>
      <c r="J111" s="754"/>
      <c r="K111" s="754"/>
      <c r="L111" s="754"/>
      <c r="M111" s="754"/>
      <c r="N111" s="754"/>
      <c r="O111" s="754"/>
      <c r="P111" s="754"/>
      <c r="Q111" s="754"/>
      <c r="R111" s="754"/>
      <c r="S111" s="754"/>
      <c r="T111" s="754"/>
      <c r="U111" s="754"/>
      <c r="V111" s="754"/>
      <c r="W111" s="311"/>
      <c r="X111" s="311"/>
      <c r="Y111" s="311"/>
      <c r="Z111" s="311"/>
      <c r="AA111" s="311"/>
      <c r="AB111" s="311"/>
      <c r="AC111" s="311"/>
      <c r="AD111" s="311"/>
      <c r="AE111" s="311"/>
      <c r="AF111" s="311"/>
      <c r="AG111" s="311"/>
      <c r="AH111" s="311"/>
      <c r="AI111" s="311"/>
      <c r="AJ111" s="311"/>
      <c r="AK111" s="311"/>
      <c r="AL111" s="311"/>
      <c r="AM111" s="311"/>
      <c r="AN111" s="311"/>
      <c r="AO111" s="311"/>
      <c r="AP111" s="311"/>
      <c r="AQ111" s="311"/>
      <c r="AR111" s="311"/>
      <c r="AS111" s="311"/>
      <c r="AT111" s="311"/>
      <c r="AU111" s="311"/>
      <c r="AV111" s="311"/>
      <c r="AW111" s="311"/>
      <c r="AX111" s="311"/>
      <c r="AY111" s="311"/>
      <c r="AZ111" s="311"/>
      <c r="BA111" s="311"/>
      <c r="BB111" s="311"/>
      <c r="BC111" s="311"/>
      <c r="BD111" s="311"/>
      <c r="BE111" s="311"/>
      <c r="BF111" s="311"/>
      <c r="BG111" s="311"/>
      <c r="BH111" s="311"/>
      <c r="BI111" s="311"/>
    </row>
    <row r="112" spans="1:61" s="668" customFormat="1">
      <c r="A112" s="754"/>
      <c r="B112" s="754"/>
      <c r="C112" s="754"/>
      <c r="D112" s="754"/>
      <c r="E112" s="754"/>
      <c r="F112" s="754"/>
      <c r="G112" s="754"/>
      <c r="H112" s="754"/>
      <c r="I112" s="754"/>
      <c r="J112" s="754"/>
      <c r="K112" s="754"/>
      <c r="L112" s="754"/>
      <c r="M112" s="754"/>
      <c r="N112" s="754"/>
      <c r="O112" s="754"/>
      <c r="P112" s="754"/>
      <c r="Q112" s="754"/>
      <c r="R112" s="754"/>
      <c r="S112" s="754"/>
      <c r="T112" s="754"/>
      <c r="U112" s="754"/>
      <c r="V112" s="754"/>
    </row>
    <row r="113" spans="1:61" s="668" customFormat="1">
      <c r="A113" s="790"/>
      <c r="B113" s="790"/>
      <c r="C113" s="790"/>
      <c r="D113" s="790"/>
      <c r="E113" s="790"/>
      <c r="F113" s="790"/>
      <c r="G113" s="790"/>
      <c r="H113" s="790"/>
      <c r="I113" s="790"/>
      <c r="J113" s="790"/>
      <c r="K113" s="790"/>
      <c r="L113" s="790"/>
      <c r="M113" s="790"/>
      <c r="N113" s="790"/>
      <c r="O113" s="790"/>
      <c r="P113" s="790"/>
      <c r="Q113" s="790"/>
      <c r="R113" s="790"/>
      <c r="S113" s="790"/>
      <c r="T113" s="790"/>
      <c r="U113" s="790"/>
      <c r="V113" s="790"/>
    </row>
    <row r="114" spans="1:61" s="515" customFormat="1">
      <c r="A114" s="757" t="s">
        <v>311</v>
      </c>
      <c r="B114" s="663" t="s">
        <v>309</v>
      </c>
      <c r="C114" s="649"/>
      <c r="D114" s="649"/>
      <c r="E114" s="649"/>
      <c r="F114" s="649"/>
      <c r="G114" s="649"/>
      <c r="H114" s="649"/>
      <c r="I114" s="649"/>
      <c r="J114" s="649"/>
      <c r="K114" s="649"/>
      <c r="L114" s="649"/>
      <c r="M114" s="649"/>
      <c r="N114" s="649"/>
      <c r="O114" s="649"/>
      <c r="P114" s="652"/>
      <c r="Q114" s="6"/>
      <c r="R114" s="6"/>
      <c r="S114" s="6"/>
      <c r="T114" s="6">
        <v>2020</v>
      </c>
      <c r="U114" s="6">
        <f>T114+1</f>
        <v>2021</v>
      </c>
      <c r="V114" s="6">
        <f t="shared" ref="V114:BI114" si="67">U114+1</f>
        <v>2022</v>
      </c>
      <c r="W114" s="6">
        <f t="shared" si="67"/>
        <v>2023</v>
      </c>
      <c r="X114" s="6">
        <f t="shared" si="67"/>
        <v>2024</v>
      </c>
      <c r="Y114" s="6">
        <f t="shared" si="67"/>
        <v>2025</v>
      </c>
      <c r="Z114" s="6">
        <f t="shared" si="67"/>
        <v>2026</v>
      </c>
      <c r="AA114" s="6">
        <f t="shared" si="67"/>
        <v>2027</v>
      </c>
      <c r="AB114" s="6">
        <f t="shared" si="67"/>
        <v>2028</v>
      </c>
      <c r="AC114" s="6">
        <f t="shared" si="67"/>
        <v>2029</v>
      </c>
      <c r="AD114" s="6">
        <f t="shared" si="67"/>
        <v>2030</v>
      </c>
      <c r="AE114" s="6">
        <f t="shared" si="67"/>
        <v>2031</v>
      </c>
      <c r="AF114" s="6">
        <f t="shared" si="67"/>
        <v>2032</v>
      </c>
      <c r="AG114" s="6">
        <f t="shared" si="67"/>
        <v>2033</v>
      </c>
      <c r="AH114" s="6">
        <f t="shared" si="67"/>
        <v>2034</v>
      </c>
      <c r="AI114" s="6">
        <f t="shared" si="67"/>
        <v>2035</v>
      </c>
      <c r="AJ114" s="6">
        <f t="shared" si="67"/>
        <v>2036</v>
      </c>
      <c r="AK114" s="6">
        <f t="shared" si="67"/>
        <v>2037</v>
      </c>
      <c r="AL114" s="6">
        <f t="shared" si="67"/>
        <v>2038</v>
      </c>
      <c r="AM114" s="6">
        <f t="shared" si="67"/>
        <v>2039</v>
      </c>
      <c r="AN114" s="6">
        <f t="shared" si="67"/>
        <v>2040</v>
      </c>
      <c r="AO114" s="6">
        <f t="shared" si="67"/>
        <v>2041</v>
      </c>
      <c r="AP114" s="6">
        <f t="shared" si="67"/>
        <v>2042</v>
      </c>
      <c r="AQ114" s="6">
        <f t="shared" si="67"/>
        <v>2043</v>
      </c>
      <c r="AR114" s="6">
        <f t="shared" si="67"/>
        <v>2044</v>
      </c>
      <c r="AS114" s="6">
        <f t="shared" si="67"/>
        <v>2045</v>
      </c>
      <c r="AT114" s="6">
        <f t="shared" si="67"/>
        <v>2046</v>
      </c>
      <c r="AU114" s="6">
        <f t="shared" si="67"/>
        <v>2047</v>
      </c>
      <c r="AV114" s="6">
        <f t="shared" si="67"/>
        <v>2048</v>
      </c>
      <c r="AW114" s="6">
        <f t="shared" si="67"/>
        <v>2049</v>
      </c>
      <c r="AX114" s="6">
        <f t="shared" si="67"/>
        <v>2050</v>
      </c>
      <c r="AY114" s="6">
        <f t="shared" si="67"/>
        <v>2051</v>
      </c>
      <c r="AZ114" s="6">
        <f t="shared" si="67"/>
        <v>2052</v>
      </c>
      <c r="BA114" s="6">
        <f t="shared" si="67"/>
        <v>2053</v>
      </c>
      <c r="BB114" s="6">
        <f t="shared" si="67"/>
        <v>2054</v>
      </c>
      <c r="BC114" s="6">
        <f t="shared" si="67"/>
        <v>2055</v>
      </c>
      <c r="BD114" s="6">
        <f t="shared" si="67"/>
        <v>2056</v>
      </c>
      <c r="BE114" s="6">
        <f t="shared" si="67"/>
        <v>2057</v>
      </c>
      <c r="BF114" s="6">
        <f t="shared" si="67"/>
        <v>2058</v>
      </c>
      <c r="BG114" s="6">
        <f t="shared" si="67"/>
        <v>2059</v>
      </c>
      <c r="BH114" s="6">
        <f t="shared" si="67"/>
        <v>2060</v>
      </c>
      <c r="BI114" s="6">
        <f t="shared" si="67"/>
        <v>2061</v>
      </c>
    </row>
    <row r="115" spans="1:61">
      <c r="A115" s="758"/>
      <c r="B115" s="664" t="s">
        <v>510</v>
      </c>
      <c r="C115" s="659"/>
      <c r="D115" s="659"/>
      <c r="E115" s="659"/>
      <c r="F115" s="659"/>
      <c r="G115" s="659"/>
      <c r="H115" s="659"/>
      <c r="I115" s="659"/>
      <c r="J115" s="659"/>
      <c r="K115" s="659"/>
      <c r="L115" s="659"/>
      <c r="M115" s="659"/>
      <c r="N115" s="659"/>
      <c r="O115" s="659"/>
      <c r="P115" s="665"/>
      <c r="Q115" s="661">
        <f>DATE(2016,12,31)</f>
        <v>42735</v>
      </c>
      <c r="R115" s="661">
        <f>DATE(YEAR(Q115+1),12,31)</f>
        <v>43100</v>
      </c>
      <c r="S115" s="661">
        <f t="shared" ref="S115" si="68">DATE(YEAR(R115+1),12,31)</f>
        <v>43465</v>
      </c>
      <c r="T115" s="661">
        <f>DATE(YEAR(S115+1),12,31)</f>
        <v>43830</v>
      </c>
      <c r="U115" s="661">
        <f t="shared" ref="U115:BI115" si="69">DATE(YEAR(T115+1),12,31)</f>
        <v>44196</v>
      </c>
      <c r="V115" s="661">
        <f t="shared" si="69"/>
        <v>44561</v>
      </c>
      <c r="W115" s="661">
        <f t="shared" si="69"/>
        <v>44926</v>
      </c>
      <c r="X115" s="661">
        <f t="shared" si="69"/>
        <v>45291</v>
      </c>
      <c r="Y115" s="661">
        <f t="shared" si="69"/>
        <v>45657</v>
      </c>
      <c r="Z115" s="661">
        <f t="shared" si="69"/>
        <v>46022</v>
      </c>
      <c r="AA115" s="661">
        <f t="shared" si="69"/>
        <v>46387</v>
      </c>
      <c r="AB115" s="661">
        <f t="shared" si="69"/>
        <v>46752</v>
      </c>
      <c r="AC115" s="661">
        <f t="shared" si="69"/>
        <v>47118</v>
      </c>
      <c r="AD115" s="661">
        <f t="shared" si="69"/>
        <v>47483</v>
      </c>
      <c r="AE115" s="661">
        <f t="shared" si="69"/>
        <v>47848</v>
      </c>
      <c r="AF115" s="661">
        <f t="shared" si="69"/>
        <v>48213</v>
      </c>
      <c r="AG115" s="661">
        <f t="shared" si="69"/>
        <v>48579</v>
      </c>
      <c r="AH115" s="661">
        <f t="shared" si="69"/>
        <v>48944</v>
      </c>
      <c r="AI115" s="661">
        <f t="shared" si="69"/>
        <v>49309</v>
      </c>
      <c r="AJ115" s="661">
        <f t="shared" si="69"/>
        <v>49674</v>
      </c>
      <c r="AK115" s="661">
        <f t="shared" si="69"/>
        <v>50040</v>
      </c>
      <c r="AL115" s="661">
        <f t="shared" si="69"/>
        <v>50405</v>
      </c>
      <c r="AM115" s="661">
        <f t="shared" si="69"/>
        <v>50770</v>
      </c>
      <c r="AN115" s="661">
        <f t="shared" si="69"/>
        <v>51135</v>
      </c>
      <c r="AO115" s="661">
        <f t="shared" si="69"/>
        <v>51501</v>
      </c>
      <c r="AP115" s="661">
        <f t="shared" si="69"/>
        <v>51866</v>
      </c>
      <c r="AQ115" s="661">
        <f t="shared" si="69"/>
        <v>52231</v>
      </c>
      <c r="AR115" s="661">
        <f t="shared" si="69"/>
        <v>52596</v>
      </c>
      <c r="AS115" s="661">
        <f t="shared" si="69"/>
        <v>52962</v>
      </c>
      <c r="AT115" s="661">
        <f t="shared" si="69"/>
        <v>53327</v>
      </c>
      <c r="AU115" s="661">
        <f t="shared" si="69"/>
        <v>53692</v>
      </c>
      <c r="AV115" s="661">
        <f t="shared" si="69"/>
        <v>54057</v>
      </c>
      <c r="AW115" s="661">
        <f t="shared" si="69"/>
        <v>54423</v>
      </c>
      <c r="AX115" s="661">
        <f t="shared" si="69"/>
        <v>54788</v>
      </c>
      <c r="AY115" s="661">
        <f t="shared" si="69"/>
        <v>55153</v>
      </c>
      <c r="AZ115" s="661">
        <f t="shared" si="69"/>
        <v>55518</v>
      </c>
      <c r="BA115" s="661">
        <f t="shared" si="69"/>
        <v>55884</v>
      </c>
      <c r="BB115" s="661">
        <f t="shared" si="69"/>
        <v>56249</v>
      </c>
      <c r="BC115" s="661">
        <f t="shared" si="69"/>
        <v>56614</v>
      </c>
      <c r="BD115" s="661">
        <f t="shared" si="69"/>
        <v>56979</v>
      </c>
      <c r="BE115" s="661">
        <f t="shared" si="69"/>
        <v>57345</v>
      </c>
      <c r="BF115" s="661">
        <f t="shared" si="69"/>
        <v>57710</v>
      </c>
      <c r="BG115" s="661">
        <f t="shared" si="69"/>
        <v>58075</v>
      </c>
      <c r="BH115" s="661">
        <f t="shared" si="69"/>
        <v>58440</v>
      </c>
      <c r="BI115" s="661">
        <f t="shared" si="69"/>
        <v>58806</v>
      </c>
    </row>
    <row r="116" spans="1:61">
      <c r="A116" s="8" t="str">
        <f>"Prędkość "&amp;$S$49&amp;" km/h"</f>
        <v>Prędkość 60,00÷69,99 km/h</v>
      </c>
      <c r="B116" s="110" t="s">
        <v>25</v>
      </c>
      <c r="C116" s="13"/>
      <c r="D116" s="13"/>
      <c r="E116" s="13"/>
      <c r="F116" s="13"/>
      <c r="G116" s="13"/>
      <c r="H116" s="13"/>
      <c r="I116" s="13"/>
      <c r="J116" s="13"/>
      <c r="K116" s="13"/>
      <c r="L116" s="13"/>
      <c r="M116" s="13"/>
      <c r="N116" s="13"/>
      <c r="O116" s="13"/>
      <c r="P116" s="13"/>
      <c r="Q116" s="78"/>
      <c r="R116" s="78"/>
      <c r="S116" s="78"/>
      <c r="T116" s="10">
        <f t="shared" ref="T116:BI116" si="70">T$101*($T$49*10^-6)*$T$74</f>
        <v>6.4298020717986251E-2</v>
      </c>
      <c r="U116" s="10">
        <f t="shared" si="70"/>
        <v>6.6484153422397774E-2</v>
      </c>
      <c r="V116" s="10">
        <f t="shared" si="70"/>
        <v>8.4723249861914818E-2</v>
      </c>
      <c r="W116" s="10">
        <f t="shared" si="70"/>
        <v>0.11390997272156171</v>
      </c>
      <c r="X116" s="10">
        <f t="shared" si="70"/>
        <v>0.1458187540276174</v>
      </c>
      <c r="Y116" s="10">
        <f t="shared" si="70"/>
        <v>0.16474179844341511</v>
      </c>
      <c r="Z116" s="10">
        <f t="shared" si="70"/>
        <v>0.18366484285921278</v>
      </c>
      <c r="AA116" s="10">
        <f t="shared" si="70"/>
        <v>0.20258788727501045</v>
      </c>
      <c r="AB116" s="10">
        <f t="shared" si="70"/>
        <v>0.22151093169080813</v>
      </c>
      <c r="AC116" s="10">
        <f t="shared" si="70"/>
        <v>0.2404339761066058</v>
      </c>
      <c r="AD116" s="10">
        <f t="shared" si="70"/>
        <v>0.2593570205224035</v>
      </c>
      <c r="AE116" s="10">
        <f t="shared" si="70"/>
        <v>0.27828006493820118</v>
      </c>
      <c r="AF116" s="10">
        <f t="shared" si="70"/>
        <v>0.30944743221127968</v>
      </c>
      <c r="AG116" s="10">
        <f t="shared" si="70"/>
        <v>0.34061479948435824</v>
      </c>
      <c r="AH116" s="10">
        <f t="shared" si="70"/>
        <v>0.3717821667574368</v>
      </c>
      <c r="AI116" s="10">
        <f t="shared" si="70"/>
        <v>0.40294953403051526</v>
      </c>
      <c r="AJ116" s="10">
        <f t="shared" si="70"/>
        <v>0.43411690130359387</v>
      </c>
      <c r="AK116" s="10">
        <f t="shared" si="70"/>
        <v>0.46417114831691958</v>
      </c>
      <c r="AL116" s="10">
        <f t="shared" si="70"/>
        <v>0.49422539533024529</v>
      </c>
      <c r="AM116" s="10">
        <f t="shared" si="70"/>
        <v>0.52427964234357105</v>
      </c>
      <c r="AN116" s="10">
        <f t="shared" si="70"/>
        <v>0.55433388935689676</v>
      </c>
      <c r="AO116" s="10">
        <f t="shared" si="70"/>
        <v>0.58438813637022247</v>
      </c>
      <c r="AP116" s="10">
        <f t="shared" si="70"/>
        <v>0.61444238338354817</v>
      </c>
      <c r="AQ116" s="10">
        <f t="shared" si="70"/>
        <v>0.64449663039687399</v>
      </c>
      <c r="AR116" s="10">
        <f t="shared" si="70"/>
        <v>0.6745508774101997</v>
      </c>
      <c r="AS116" s="10">
        <f t="shared" si="70"/>
        <v>0.70460512442352541</v>
      </c>
      <c r="AT116" s="10">
        <f t="shared" si="70"/>
        <v>0.73465937143685112</v>
      </c>
      <c r="AU116" s="10">
        <f t="shared" si="70"/>
        <v>0.76582673870992968</v>
      </c>
      <c r="AV116" s="10">
        <f t="shared" si="70"/>
        <v>0.79699410598300824</v>
      </c>
      <c r="AW116" s="10">
        <f t="shared" si="70"/>
        <v>0.8281614732560868</v>
      </c>
      <c r="AX116" s="10">
        <f t="shared" si="70"/>
        <v>0.85932884052916525</v>
      </c>
      <c r="AY116" s="10">
        <f t="shared" si="70"/>
        <v>0.89049620780224381</v>
      </c>
      <c r="AZ116" s="10">
        <f t="shared" si="70"/>
        <v>0.89049620780224381</v>
      </c>
      <c r="BA116" s="10">
        <f t="shared" si="70"/>
        <v>0.89049620780224381</v>
      </c>
      <c r="BB116" s="10">
        <f t="shared" si="70"/>
        <v>0.89049620780224381</v>
      </c>
      <c r="BC116" s="10">
        <f t="shared" si="70"/>
        <v>0.89049620780224381</v>
      </c>
      <c r="BD116" s="10">
        <f t="shared" si="70"/>
        <v>0.89049620780224381</v>
      </c>
      <c r="BE116" s="10">
        <f t="shared" si="70"/>
        <v>0.89049620780224381</v>
      </c>
      <c r="BF116" s="10">
        <f t="shared" si="70"/>
        <v>0.89049620780224381</v>
      </c>
      <c r="BG116" s="10">
        <f t="shared" si="70"/>
        <v>0.89049620780224381</v>
      </c>
      <c r="BH116" s="10">
        <f t="shared" si="70"/>
        <v>0.89049620780224381</v>
      </c>
      <c r="BI116" s="10">
        <f t="shared" si="70"/>
        <v>0.89049620780224381</v>
      </c>
    </row>
    <row r="117" spans="1:61"/>
    <row r="118" spans="1:61"/>
    <row r="119" spans="1:61"/>
    <row r="120" spans="1:61">
      <c r="A120" s="113" t="s">
        <v>612</v>
      </c>
      <c r="B120" s="113"/>
      <c r="C120" s="113"/>
      <c r="D120" s="113"/>
      <c r="E120" s="113"/>
      <c r="F120" s="113"/>
      <c r="G120" s="113"/>
      <c r="H120" s="113"/>
      <c r="I120" s="113"/>
      <c r="J120" s="113"/>
      <c r="K120" s="113"/>
      <c r="L120" s="113"/>
      <c r="M120" s="113"/>
      <c r="N120" s="113"/>
      <c r="O120" s="113"/>
      <c r="P120" s="113"/>
      <c r="Q120" s="113"/>
    </row>
    <row r="121" spans="1:61" hidden="1" outlineLevel="1">
      <c r="A121" s="311"/>
      <c r="B121" s="311"/>
      <c r="C121" s="311"/>
      <c r="D121" s="311"/>
      <c r="E121" s="311"/>
      <c r="F121" s="311"/>
      <c r="G121" s="311"/>
      <c r="H121" s="311"/>
      <c r="I121" s="311"/>
      <c r="J121" s="311"/>
      <c r="K121" s="311"/>
      <c r="L121" s="311"/>
      <c r="M121" s="311"/>
      <c r="N121" s="311"/>
      <c r="O121" s="311"/>
      <c r="P121" s="311"/>
      <c r="Q121" s="311"/>
    </row>
    <row r="122" spans="1:61" s="592" customFormat="1" hidden="1" outlineLevel="1"/>
    <row r="123" spans="1:61" s="592" customFormat="1" hidden="1" outlineLevel="1"/>
    <row r="124" spans="1:61" s="592" customFormat="1" hidden="1" outlineLevel="1"/>
    <row r="125" spans="1:61" s="592" customFormat="1" hidden="1" outlineLevel="1"/>
    <row r="126" spans="1:61" s="592" customFormat="1" hidden="1" outlineLevel="1"/>
    <row r="127" spans="1:61" s="592" customFormat="1" hidden="1" outlineLevel="1"/>
    <row r="128" spans="1:61" s="592" customFormat="1" hidden="1" outlineLevel="1"/>
    <row r="129" spans="1:22" s="592" customFormat="1" hidden="1" outlineLevel="1"/>
    <row r="130" spans="1:22" s="592" customFormat="1" hidden="1" outlineLevel="1"/>
    <row r="131" spans="1:22" s="592" customFormat="1" hidden="1" outlineLevel="1"/>
    <row r="132" spans="1:22" s="592" customFormat="1" hidden="1" outlineLevel="1"/>
    <row r="133" spans="1:22" s="592" customFormat="1" hidden="1" outlineLevel="1"/>
    <row r="134" spans="1:22" s="592" customFormat="1" hidden="1" outlineLevel="1"/>
    <row r="135" spans="1:22" hidden="1" outlineLevel="1">
      <c r="A135" s="1" t="s">
        <v>452</v>
      </c>
      <c r="B135" s="311"/>
      <c r="C135" s="311"/>
      <c r="D135" s="311"/>
      <c r="E135" s="311"/>
      <c r="F135" s="311"/>
      <c r="G135" s="311"/>
      <c r="H135" s="311"/>
      <c r="I135" s="311"/>
      <c r="J135" s="311"/>
      <c r="K135" s="311"/>
      <c r="L135" s="311"/>
      <c r="M135" s="311"/>
      <c r="N135" s="311"/>
      <c r="O135" s="311"/>
      <c r="P135" s="311"/>
      <c r="Q135" s="311"/>
    </row>
    <row r="136" spans="1:22" ht="18" hidden="1" outlineLevel="1">
      <c r="A136" s="311" t="s">
        <v>636</v>
      </c>
      <c r="B136" s="311"/>
      <c r="C136" s="311"/>
      <c r="D136" s="311"/>
      <c r="E136" s="311"/>
      <c r="F136" s="311"/>
      <c r="G136" s="311"/>
      <c r="H136" s="311"/>
      <c r="I136" s="311"/>
      <c r="J136" s="311"/>
      <c r="K136" s="311"/>
      <c r="L136" s="311"/>
      <c r="M136" s="311"/>
      <c r="N136" s="311"/>
      <c r="O136" s="311"/>
      <c r="P136" s="311"/>
      <c r="Q136" s="311"/>
    </row>
    <row r="137" spans="1:22" ht="18" hidden="1" customHeight="1" outlineLevel="1">
      <c r="A137" s="754" t="s">
        <v>637</v>
      </c>
      <c r="B137" s="754"/>
      <c r="C137" s="754"/>
      <c r="D137" s="754"/>
      <c r="E137" s="754"/>
      <c r="F137" s="754"/>
      <c r="G137" s="754"/>
      <c r="H137" s="754"/>
      <c r="I137" s="754"/>
      <c r="J137" s="754"/>
      <c r="K137" s="754"/>
      <c r="L137" s="754"/>
      <c r="M137" s="754"/>
      <c r="N137" s="754"/>
      <c r="O137" s="754"/>
      <c r="P137" s="754"/>
      <c r="Q137" s="754"/>
      <c r="R137" s="754"/>
      <c r="S137" s="754"/>
      <c r="T137" s="754"/>
      <c r="U137" s="754"/>
      <c r="V137" s="754"/>
    </row>
    <row r="138" spans="1:22" s="592" customFormat="1" hidden="1" outlineLevel="1">
      <c r="A138" s="754"/>
      <c r="B138" s="754"/>
      <c r="C138" s="754"/>
      <c r="D138" s="754"/>
      <c r="E138" s="754"/>
      <c r="F138" s="754"/>
      <c r="G138" s="754"/>
      <c r="H138" s="754"/>
      <c r="I138" s="754"/>
      <c r="J138" s="754"/>
      <c r="K138" s="754"/>
      <c r="L138" s="754"/>
      <c r="M138" s="754"/>
      <c r="N138" s="754"/>
      <c r="O138" s="754"/>
      <c r="P138" s="754"/>
      <c r="Q138" s="754"/>
      <c r="R138" s="754"/>
      <c r="S138" s="754"/>
      <c r="T138" s="754"/>
      <c r="U138" s="754"/>
      <c r="V138" s="754"/>
    </row>
    <row r="139" spans="1:22" hidden="1" outlineLevel="1">
      <c r="A139" s="472"/>
      <c r="B139" s="311"/>
      <c r="C139" s="311"/>
      <c r="D139" s="311"/>
      <c r="E139" s="311"/>
      <c r="F139" s="311"/>
      <c r="G139" s="311"/>
      <c r="H139" s="311"/>
      <c r="I139" s="311"/>
      <c r="J139" s="311"/>
      <c r="K139" s="311"/>
      <c r="L139" s="311"/>
      <c r="M139" s="311"/>
      <c r="N139" s="311"/>
      <c r="O139" s="311"/>
      <c r="P139" s="311"/>
      <c r="Q139" s="311"/>
    </row>
    <row r="140" spans="1:22" s="581" customFormat="1" hidden="1" outlineLevel="1">
      <c r="A140" s="187" t="s">
        <v>453</v>
      </c>
      <c r="B140" s="176"/>
      <c r="C140" s="176"/>
      <c r="D140" s="176"/>
      <c r="E140" s="176"/>
      <c r="F140" s="176"/>
      <c r="G140" s="176"/>
      <c r="H140" s="176"/>
      <c r="I140" s="176"/>
      <c r="J140" s="176"/>
      <c r="K140" s="176"/>
      <c r="L140" s="176"/>
      <c r="M140" s="176"/>
      <c r="N140" s="176"/>
      <c r="O140" s="176"/>
      <c r="P140" s="176"/>
      <c r="Q140" s="176"/>
    </row>
    <row r="141" spans="1:22" s="581" customFormat="1" ht="15.75" hidden="1" outlineLevel="1" thickBot="1">
      <c r="A141" s="599" t="s">
        <v>446</v>
      </c>
      <c r="B141" s="600" t="s">
        <v>386</v>
      </c>
      <c r="C141" s="600"/>
      <c r="D141" s="600"/>
      <c r="E141" s="600"/>
      <c r="F141" s="600"/>
      <c r="G141" s="600"/>
      <c r="H141" s="600"/>
      <c r="I141" s="600"/>
      <c r="J141" s="600"/>
      <c r="K141" s="600"/>
      <c r="L141" s="600"/>
      <c r="M141" s="600"/>
      <c r="N141" s="600"/>
      <c r="O141" s="600"/>
      <c r="P141" s="600">
        <v>2010</v>
      </c>
      <c r="Q141" s="600">
        <v>2019</v>
      </c>
      <c r="R141" s="726">
        <v>2020</v>
      </c>
      <c r="S141" s="726">
        <v>2021</v>
      </c>
      <c r="T141" s="726">
        <v>2022</v>
      </c>
    </row>
    <row r="142" spans="1:22" s="581" customFormat="1" ht="48" hidden="1" outlineLevel="1">
      <c r="A142" s="607" t="s">
        <v>454</v>
      </c>
      <c r="B142" s="608" t="s">
        <v>447</v>
      </c>
      <c r="C142" s="609"/>
      <c r="D142" s="609"/>
      <c r="E142" s="609"/>
      <c r="F142" s="609"/>
      <c r="G142" s="609"/>
      <c r="H142" s="609"/>
      <c r="I142" s="609"/>
      <c r="J142" s="609"/>
      <c r="K142" s="609"/>
      <c r="L142" s="609"/>
      <c r="M142" s="609"/>
      <c r="N142" s="609"/>
      <c r="O142" s="609"/>
      <c r="P142" s="610">
        <v>812</v>
      </c>
      <c r="Q142" s="610">
        <v>719</v>
      </c>
      <c r="R142" s="729">
        <v>698</v>
      </c>
      <c r="S142" s="729">
        <v>708</v>
      </c>
      <c r="T142" s="729">
        <v>685</v>
      </c>
    </row>
    <row r="143" spans="1:22" s="581" customFormat="1" hidden="1" outlineLevel="1">
      <c r="A143" s="35" t="s">
        <v>647</v>
      </c>
    </row>
    <row r="144" spans="1:22" s="581" customFormat="1" hidden="1" outlineLevel="1">
      <c r="A144" s="35" t="s">
        <v>646</v>
      </c>
    </row>
    <row r="145" spans="1:21" s="581" customFormat="1" hidden="1" outlineLevel="1"/>
    <row r="146" spans="1:21" s="581" customFormat="1" hidden="1" outlineLevel="1">
      <c r="A146" s="598" t="s">
        <v>448</v>
      </c>
      <c r="B146" s="176"/>
      <c r="C146" s="176"/>
      <c r="D146" s="176"/>
      <c r="E146" s="176"/>
      <c r="F146" s="176"/>
      <c r="G146" s="176"/>
      <c r="H146" s="176"/>
      <c r="I146" s="176"/>
      <c r="J146" s="176"/>
      <c r="K146" s="176"/>
      <c r="L146" s="176"/>
      <c r="M146" s="176"/>
      <c r="N146" s="176"/>
      <c r="O146" s="176"/>
      <c r="P146" s="176"/>
      <c r="Q146" s="176"/>
      <c r="R146" s="176"/>
    </row>
    <row r="147" spans="1:21" s="581" customFormat="1" ht="15.75" hidden="1" outlineLevel="1" thickBot="1">
      <c r="A147" s="599" t="s">
        <v>446</v>
      </c>
      <c r="B147" s="600" t="s">
        <v>386</v>
      </c>
      <c r="C147" s="600"/>
      <c r="D147" s="600"/>
      <c r="E147" s="600"/>
      <c r="F147" s="600"/>
      <c r="G147" s="600"/>
      <c r="H147" s="600"/>
      <c r="I147" s="600"/>
      <c r="J147" s="600"/>
      <c r="K147" s="600"/>
      <c r="L147" s="600"/>
      <c r="M147" s="600"/>
      <c r="N147" s="600"/>
      <c r="O147" s="600"/>
      <c r="P147" s="600">
        <v>2010</v>
      </c>
      <c r="Q147" s="600">
        <v>2019</v>
      </c>
      <c r="R147" s="726">
        <v>2020</v>
      </c>
      <c r="S147" s="726">
        <v>2021</v>
      </c>
      <c r="T147" s="726">
        <v>2022</v>
      </c>
      <c r="U147" s="726">
        <v>2023</v>
      </c>
    </row>
    <row r="148" spans="1:21" s="581" customFormat="1" ht="30" hidden="1" outlineLevel="1">
      <c r="A148" s="582" t="s">
        <v>638</v>
      </c>
      <c r="B148" s="176" t="s">
        <v>449</v>
      </c>
      <c r="C148" s="570"/>
      <c r="D148" s="570"/>
      <c r="E148" s="570"/>
      <c r="F148" s="570"/>
      <c r="G148" s="570"/>
      <c r="H148" s="570"/>
      <c r="I148" s="570"/>
      <c r="J148" s="570"/>
      <c r="K148" s="570"/>
      <c r="L148" s="570"/>
      <c r="M148" s="570"/>
      <c r="N148" s="570"/>
      <c r="O148" s="570"/>
      <c r="P148" s="570">
        <v>156342</v>
      </c>
      <c r="Q148" s="570">
        <v>158767</v>
      </c>
      <c r="R148" s="727">
        <v>152308</v>
      </c>
      <c r="S148" s="727">
        <v>173583</v>
      </c>
      <c r="T148" s="727">
        <v>175157</v>
      </c>
      <c r="U148" s="727">
        <v>163629</v>
      </c>
    </row>
    <row r="149" spans="1:21" s="581" customFormat="1" hidden="1" outlineLevel="1">
      <c r="A149" s="582" t="s">
        <v>639</v>
      </c>
      <c r="B149" s="176"/>
      <c r="C149" s="176"/>
      <c r="D149" s="176"/>
      <c r="E149" s="176"/>
      <c r="F149" s="176"/>
      <c r="G149" s="176"/>
      <c r="H149" s="176"/>
      <c r="I149" s="176"/>
      <c r="J149" s="176"/>
      <c r="K149" s="176"/>
      <c r="L149" s="176"/>
      <c r="M149" s="176"/>
      <c r="N149" s="176"/>
      <c r="O149" s="176"/>
      <c r="P149" s="570"/>
      <c r="Q149" s="570"/>
      <c r="R149" s="727"/>
      <c r="S149" s="727"/>
      <c r="T149" s="727"/>
      <c r="U149" s="727"/>
    </row>
    <row r="150" spans="1:21" s="581" customFormat="1" hidden="1" outlineLevel="1">
      <c r="A150" s="601" t="s">
        <v>640</v>
      </c>
      <c r="B150" s="176" t="s">
        <v>449</v>
      </c>
      <c r="C150" s="570"/>
      <c r="D150" s="570"/>
      <c r="E150" s="570"/>
      <c r="F150" s="570"/>
      <c r="G150" s="570"/>
      <c r="H150" s="570"/>
      <c r="I150" s="570"/>
      <c r="J150" s="570"/>
      <c r="K150" s="570"/>
      <c r="L150" s="570"/>
      <c r="M150" s="570"/>
      <c r="N150" s="570"/>
      <c r="O150" s="570"/>
      <c r="P150" s="570">
        <v>89212</v>
      </c>
      <c r="Q150" s="570">
        <v>78190</v>
      </c>
      <c r="R150" s="727">
        <v>71546</v>
      </c>
      <c r="S150" s="727">
        <v>93037</v>
      </c>
      <c r="T150" s="727">
        <v>87761</v>
      </c>
      <c r="U150" s="727">
        <v>76607</v>
      </c>
    </row>
    <row r="151" spans="1:21" s="581" customFormat="1" hidden="1" outlineLevel="1">
      <c r="A151" s="601" t="s">
        <v>641</v>
      </c>
      <c r="B151" s="176" t="s">
        <v>449</v>
      </c>
      <c r="C151" s="570"/>
      <c r="D151" s="570"/>
      <c r="E151" s="570"/>
      <c r="F151" s="570"/>
      <c r="G151" s="570"/>
      <c r="H151" s="570"/>
      <c r="I151" s="570"/>
      <c r="J151" s="570"/>
      <c r="K151" s="570"/>
      <c r="L151" s="570"/>
      <c r="M151" s="570"/>
      <c r="N151" s="570"/>
      <c r="O151" s="570"/>
      <c r="P151" s="570">
        <v>49460</v>
      </c>
      <c r="Q151" s="570">
        <v>41502</v>
      </c>
      <c r="R151" s="727">
        <v>37969</v>
      </c>
      <c r="S151" s="727">
        <v>45367</v>
      </c>
      <c r="T151" s="727">
        <v>46978</v>
      </c>
      <c r="U151" s="727">
        <v>34571</v>
      </c>
    </row>
    <row r="152" spans="1:21" s="581" customFormat="1" ht="30" hidden="1" outlineLevel="1">
      <c r="A152" s="602" t="s">
        <v>642</v>
      </c>
      <c r="B152" s="603" t="s">
        <v>450</v>
      </c>
      <c r="C152" s="603"/>
      <c r="D152" s="603"/>
      <c r="E152" s="603"/>
      <c r="F152" s="603"/>
      <c r="G152" s="603"/>
      <c r="H152" s="603"/>
      <c r="I152" s="603"/>
      <c r="J152" s="603"/>
      <c r="K152" s="603"/>
      <c r="L152" s="603"/>
      <c r="M152" s="603"/>
      <c r="N152" s="603"/>
      <c r="O152" s="603"/>
      <c r="P152" s="604">
        <f>(P150+P151)/P148</f>
        <v>0.8869785470315078</v>
      </c>
      <c r="Q152" s="604">
        <f>(Q150+Q151)/Q148</f>
        <v>0.75388462337891371</v>
      </c>
      <c r="R152" s="728">
        <f>(R150+R151)/R148</f>
        <v>0.71903642618903796</v>
      </c>
      <c r="S152" s="728">
        <f t="shared" ref="S152:T152" si="71">(S150+S151)/S148</f>
        <v>0.79733614466854474</v>
      </c>
      <c r="T152" s="728">
        <f t="shared" si="71"/>
        <v>0.7692470183892165</v>
      </c>
      <c r="U152" s="728">
        <f t="shared" ref="U152" si="72">(U150+U151)/U148</f>
        <v>0.67945168643700082</v>
      </c>
    </row>
    <row r="153" spans="1:21" s="581" customFormat="1" hidden="1" outlineLevel="1">
      <c r="A153" s="605" t="s">
        <v>643</v>
      </c>
      <c r="B153" s="176"/>
      <c r="C153" s="176"/>
      <c r="D153" s="176"/>
      <c r="E153" s="176"/>
      <c r="F153" s="176"/>
      <c r="G153" s="176"/>
      <c r="H153" s="176"/>
      <c r="I153" s="176"/>
      <c r="J153" s="176"/>
      <c r="K153" s="176"/>
      <c r="L153" s="176"/>
      <c r="M153" s="176"/>
      <c r="N153" s="176"/>
      <c r="O153" s="176"/>
      <c r="P153" s="176"/>
      <c r="Q153" s="176"/>
      <c r="R153" s="176"/>
    </row>
    <row r="154" spans="1:21" s="581" customFormat="1" hidden="1" outlineLevel="1">
      <c r="A154" s="605" t="s">
        <v>644</v>
      </c>
      <c r="B154" s="176"/>
      <c r="C154" s="176"/>
      <c r="D154" s="176"/>
      <c r="E154" s="176"/>
      <c r="F154" s="176"/>
      <c r="G154" s="176"/>
      <c r="H154" s="176"/>
      <c r="I154" s="176"/>
      <c r="J154" s="176"/>
      <c r="K154" s="176"/>
      <c r="L154" s="176"/>
      <c r="M154" s="176"/>
      <c r="N154" s="176"/>
      <c r="O154" s="176"/>
      <c r="P154" s="176"/>
      <c r="Q154" s="176"/>
      <c r="R154" s="176"/>
    </row>
    <row r="155" spans="1:21" s="581" customFormat="1" hidden="1" outlineLevel="1">
      <c r="A155" s="605" t="s">
        <v>645</v>
      </c>
      <c r="B155" s="176"/>
      <c r="C155" s="176"/>
      <c r="D155" s="176"/>
      <c r="E155" s="176"/>
      <c r="F155" s="176"/>
      <c r="G155" s="176"/>
      <c r="H155" s="176"/>
      <c r="I155" s="176"/>
      <c r="J155" s="176"/>
      <c r="K155" s="176"/>
      <c r="L155" s="176"/>
      <c r="M155" s="176"/>
      <c r="N155" s="176"/>
      <c r="O155" s="176"/>
      <c r="P155" s="176"/>
      <c r="Q155" s="176"/>
      <c r="R155" s="176"/>
    </row>
    <row r="156" spans="1:21" s="581" customFormat="1" hidden="1" outlineLevel="1"/>
    <row r="157" spans="1:21" s="581" customFormat="1" ht="48" hidden="1" outlineLevel="1">
      <c r="A157" s="582" t="s">
        <v>648</v>
      </c>
      <c r="B157" s="176"/>
      <c r="C157" s="570"/>
      <c r="D157" s="570"/>
      <c r="E157" s="570"/>
      <c r="F157" s="570"/>
      <c r="G157" s="570"/>
      <c r="H157" s="570"/>
      <c r="I157" s="570"/>
      <c r="J157" s="570"/>
      <c r="K157" s="570"/>
      <c r="L157" s="570"/>
      <c r="M157" s="570"/>
      <c r="N157" s="570"/>
      <c r="O157" s="570"/>
      <c r="P157" s="570"/>
      <c r="Q157" s="595">
        <f>Q159/Q158</f>
        <v>0.76327635130202609</v>
      </c>
    </row>
    <row r="158" spans="1:21" s="581" customFormat="1" ht="45" hidden="1" outlineLevel="1">
      <c r="A158" s="582" t="s">
        <v>649</v>
      </c>
      <c r="B158" s="176"/>
      <c r="C158" s="570"/>
      <c r="D158" s="570"/>
      <c r="E158" s="570"/>
      <c r="F158" s="570"/>
      <c r="G158" s="570"/>
      <c r="H158" s="570"/>
      <c r="I158" s="570"/>
      <c r="J158" s="570"/>
      <c r="K158" s="570"/>
      <c r="L158" s="570"/>
      <c r="M158" s="570"/>
      <c r="N158" s="570"/>
      <c r="O158" s="570"/>
      <c r="P158" s="570"/>
      <c r="Q158" s="606">
        <f>(Q152-P152)/P152</f>
        <v>-0.15005314852092611</v>
      </c>
    </row>
    <row r="159" spans="1:21" s="581" customFormat="1" ht="33" hidden="1" outlineLevel="1">
      <c r="A159" s="582" t="s">
        <v>650</v>
      </c>
      <c r="B159" s="176"/>
      <c r="C159" s="570"/>
      <c r="D159" s="570"/>
      <c r="E159" s="570"/>
      <c r="F159" s="570"/>
      <c r="G159" s="570"/>
      <c r="H159" s="570"/>
      <c r="I159" s="570"/>
      <c r="J159" s="570"/>
      <c r="K159" s="570"/>
      <c r="L159" s="570"/>
      <c r="M159" s="570"/>
      <c r="N159" s="570"/>
      <c r="O159" s="570"/>
      <c r="P159" s="570"/>
      <c r="Q159" s="606">
        <f>(Q142-P142)/P142</f>
        <v>-0.1145320197044335</v>
      </c>
      <c r="R159"/>
      <c r="S159"/>
      <c r="T159"/>
    </row>
    <row r="160" spans="1:21" s="581" customFormat="1" hidden="1" outlineLevel="1">
      <c r="P160"/>
      <c r="Q160"/>
      <c r="R160"/>
      <c r="S160"/>
      <c r="T160"/>
    </row>
    <row r="161" spans="1:20" s="581" customFormat="1" hidden="1" outlineLevel="1">
      <c r="A161" s="598" t="s">
        <v>651</v>
      </c>
      <c r="B161" s="176"/>
      <c r="C161" s="176"/>
      <c r="D161" s="176"/>
      <c r="E161" s="176"/>
      <c r="F161" s="176"/>
      <c r="G161" s="176"/>
      <c r="H161" s="176"/>
      <c r="I161" s="176"/>
      <c r="J161" s="176"/>
      <c r="K161" s="176"/>
      <c r="L161" s="176"/>
      <c r="M161" s="176"/>
      <c r="N161" s="176"/>
      <c r="O161" s="176"/>
      <c r="P161" s="176"/>
      <c r="Q161" s="176"/>
      <c r="R161" s="176"/>
      <c r="S161" s="176"/>
      <c r="T161" s="176"/>
    </row>
    <row r="162" spans="1:20" s="581" customFormat="1" ht="15.75" hidden="1" outlineLevel="1" thickBot="1">
      <c r="A162" s="599" t="s">
        <v>446</v>
      </c>
      <c r="B162" s="600"/>
      <c r="C162" s="600"/>
      <c r="D162" s="600"/>
      <c r="E162" s="600"/>
      <c r="F162" s="600"/>
      <c r="G162" s="600"/>
      <c r="H162" s="600"/>
      <c r="I162" s="600"/>
      <c r="J162" s="600"/>
      <c r="K162" s="600"/>
      <c r="L162" s="600"/>
      <c r="M162" s="600"/>
      <c r="N162" s="600"/>
      <c r="O162" s="600"/>
      <c r="P162" s="600">
        <v>2020</v>
      </c>
      <c r="Q162" s="600">
        <v>2025</v>
      </c>
      <c r="R162" s="600">
        <v>2030</v>
      </c>
      <c r="S162" s="600">
        <v>2035</v>
      </c>
      <c r="T162" s="600">
        <v>2040</v>
      </c>
    </row>
    <row r="163" spans="1:20" s="581" customFormat="1" ht="30" hidden="1" outlineLevel="1">
      <c r="A163" s="582" t="s">
        <v>638</v>
      </c>
      <c r="B163" s="176" t="s">
        <v>451</v>
      </c>
      <c r="C163" s="127"/>
      <c r="D163" s="127"/>
      <c r="E163" s="127"/>
      <c r="F163" s="127"/>
      <c r="G163" s="127"/>
      <c r="H163" s="127"/>
      <c r="I163" s="127"/>
      <c r="J163" s="127"/>
      <c r="K163" s="127"/>
      <c r="L163" s="127"/>
      <c r="M163" s="127"/>
      <c r="N163" s="127"/>
      <c r="O163" s="127"/>
      <c r="P163" s="127">
        <v>176.7</v>
      </c>
      <c r="Q163" s="127">
        <v>187.9</v>
      </c>
      <c r="R163" s="127">
        <v>201.2</v>
      </c>
      <c r="S163" s="127">
        <v>212.7</v>
      </c>
      <c r="T163" s="127">
        <v>225.8</v>
      </c>
    </row>
    <row r="164" spans="1:20" s="581" customFormat="1" hidden="1" outlineLevel="1">
      <c r="A164" s="582" t="s">
        <v>639</v>
      </c>
      <c r="B164" s="176"/>
      <c r="C164" s="176"/>
      <c r="D164" s="176"/>
      <c r="E164" s="176"/>
      <c r="F164" s="176"/>
      <c r="G164" s="176"/>
      <c r="H164" s="176"/>
      <c r="I164" s="176"/>
      <c r="J164" s="176"/>
      <c r="K164" s="176"/>
      <c r="L164" s="176"/>
      <c r="M164" s="176"/>
      <c r="N164" s="176"/>
      <c r="O164" s="176"/>
      <c r="P164" s="570"/>
      <c r="Q164" s="570"/>
      <c r="R164" s="570"/>
      <c r="S164" s="570"/>
      <c r="T164" s="570"/>
    </row>
    <row r="165" spans="1:20" s="581" customFormat="1" hidden="1" outlineLevel="1">
      <c r="A165" s="601" t="s">
        <v>640</v>
      </c>
      <c r="B165" s="176" t="s">
        <v>451</v>
      </c>
      <c r="C165" s="127"/>
      <c r="D165" s="127"/>
      <c r="E165" s="127"/>
      <c r="F165" s="127"/>
      <c r="G165" s="127"/>
      <c r="H165" s="127"/>
      <c r="I165" s="127"/>
      <c r="J165" s="127"/>
      <c r="K165" s="127"/>
      <c r="L165" s="127"/>
      <c r="M165" s="127"/>
      <c r="N165" s="127"/>
      <c r="O165" s="127"/>
      <c r="P165" s="127">
        <v>47</v>
      </c>
      <c r="Q165" s="127">
        <v>50.4</v>
      </c>
      <c r="R165" s="127">
        <v>49.9</v>
      </c>
      <c r="S165" s="127">
        <v>27.5</v>
      </c>
      <c r="T165" s="127">
        <v>17.3</v>
      </c>
    </row>
    <row r="166" spans="1:20" s="581" customFormat="1" hidden="1" outlineLevel="1">
      <c r="A166" s="601" t="s">
        <v>641</v>
      </c>
      <c r="B166" s="176" t="s">
        <v>451</v>
      </c>
      <c r="C166" s="127"/>
      <c r="D166" s="127"/>
      <c r="E166" s="127"/>
      <c r="F166" s="127"/>
      <c r="G166" s="127"/>
      <c r="H166" s="127"/>
      <c r="I166" s="127"/>
      <c r="J166" s="127"/>
      <c r="K166" s="127"/>
      <c r="L166" s="127"/>
      <c r="M166" s="127"/>
      <c r="N166" s="127"/>
      <c r="O166" s="127"/>
      <c r="P166" s="127">
        <v>75.400000000000006</v>
      </c>
      <c r="Q166" s="127">
        <v>72.3</v>
      </c>
      <c r="R166" s="127">
        <v>63.1</v>
      </c>
      <c r="S166" s="127">
        <v>53.2</v>
      </c>
      <c r="T166" s="127">
        <v>45.7</v>
      </c>
    </row>
    <row r="167" spans="1:20" s="581" customFormat="1" ht="30" hidden="1" outlineLevel="1">
      <c r="A167" s="602" t="s">
        <v>642</v>
      </c>
      <c r="B167" s="603" t="s">
        <v>450</v>
      </c>
      <c r="C167" s="603"/>
      <c r="D167" s="603"/>
      <c r="E167" s="603"/>
      <c r="F167" s="603"/>
      <c r="G167" s="603"/>
      <c r="H167" s="603"/>
      <c r="I167" s="603"/>
      <c r="J167" s="603"/>
      <c r="K167" s="603"/>
      <c r="L167" s="603"/>
      <c r="M167" s="603"/>
      <c r="N167" s="603"/>
      <c r="O167" s="603"/>
      <c r="P167" s="604">
        <f t="shared" ref="P167:T167" si="73">(P165+P166)/P163</f>
        <v>0.69269949066213932</v>
      </c>
      <c r="Q167" s="604">
        <f t="shared" si="73"/>
        <v>0.65300691857370929</v>
      </c>
      <c r="R167" s="604">
        <f t="shared" si="73"/>
        <v>0.56163021868787277</v>
      </c>
      <c r="S167" s="604">
        <f t="shared" si="73"/>
        <v>0.37940761636107195</v>
      </c>
      <c r="T167" s="604">
        <f t="shared" si="73"/>
        <v>0.27900797165633301</v>
      </c>
    </row>
    <row r="168" spans="1:20" s="581" customFormat="1" hidden="1" outlineLevel="1">
      <c r="A168" s="605" t="s">
        <v>652</v>
      </c>
      <c r="B168" s="176"/>
      <c r="C168" s="176"/>
      <c r="D168" s="176"/>
      <c r="E168" s="176"/>
      <c r="F168" s="176"/>
      <c r="G168" s="176"/>
      <c r="H168" s="176"/>
      <c r="I168" s="176"/>
      <c r="J168" s="176"/>
      <c r="K168" s="176"/>
      <c r="L168" s="176"/>
      <c r="M168" s="176"/>
      <c r="N168" s="176"/>
      <c r="O168" s="176"/>
      <c r="P168" s="176"/>
      <c r="Q168" s="176"/>
      <c r="R168" s="176"/>
      <c r="S168" s="176"/>
      <c r="T168" s="176"/>
    </row>
    <row r="169" spans="1:20" s="581" customFormat="1" hidden="1" outlineLevel="1">
      <c r="R169"/>
      <c r="S169"/>
      <c r="T169"/>
    </row>
    <row r="170" spans="1:20" s="581" customFormat="1" ht="18" hidden="1" outlineLevel="1">
      <c r="A170" s="598" t="s">
        <v>653</v>
      </c>
      <c r="B170" s="176"/>
      <c r="C170" s="176"/>
      <c r="D170" s="176"/>
      <c r="E170" s="176"/>
      <c r="F170" s="176"/>
      <c r="G170" s="176"/>
      <c r="H170" s="176"/>
      <c r="I170" s="176"/>
      <c r="J170" s="176"/>
      <c r="K170" s="176"/>
      <c r="L170" s="176"/>
      <c r="M170" s="176"/>
      <c r="N170" s="176"/>
      <c r="O170" s="176"/>
      <c r="P170" s="176"/>
      <c r="Q170" s="176"/>
      <c r="R170" s="176"/>
      <c r="S170" s="176"/>
      <c r="T170" s="176"/>
    </row>
    <row r="171" spans="1:20" s="581" customFormat="1" ht="15.75" hidden="1" outlineLevel="1" thickBot="1">
      <c r="A171" s="599" t="s">
        <v>446</v>
      </c>
      <c r="B171" s="600"/>
      <c r="C171" s="600"/>
      <c r="D171" s="600"/>
      <c r="E171" s="600"/>
      <c r="F171" s="600"/>
      <c r="G171" s="600"/>
      <c r="H171" s="600"/>
      <c r="I171" s="600"/>
      <c r="J171" s="600"/>
      <c r="K171" s="600"/>
      <c r="L171" s="600"/>
      <c r="M171" s="600"/>
      <c r="N171" s="600"/>
      <c r="O171" s="600"/>
      <c r="P171" s="600">
        <v>2020</v>
      </c>
      <c r="Q171" s="600">
        <v>2025</v>
      </c>
      <c r="R171" s="600">
        <v>2030</v>
      </c>
      <c r="S171" s="600">
        <v>2035</v>
      </c>
      <c r="T171" s="600">
        <v>2040</v>
      </c>
    </row>
    <row r="172" spans="1:20" s="581" customFormat="1" ht="45" hidden="1" outlineLevel="1">
      <c r="A172" s="611" t="s">
        <v>654</v>
      </c>
      <c r="B172" s="612"/>
      <c r="C172" s="612"/>
      <c r="D172" s="612"/>
      <c r="E172" s="612"/>
      <c r="F172" s="612"/>
      <c r="G172" s="612"/>
      <c r="H172" s="612"/>
      <c r="I172" s="612"/>
      <c r="J172" s="612"/>
      <c r="K172" s="612"/>
      <c r="L172" s="612"/>
      <c r="M172" s="612"/>
      <c r="N172" s="612"/>
      <c r="O172" s="612"/>
      <c r="P172" s="612">
        <f>(P167-$Q$152)/$Q$152</f>
        <v>-8.1159809895766807E-2</v>
      </c>
      <c r="Q172" s="612">
        <f>(Q167-$Q$152)/$Q$152</f>
        <v>-0.13381053502997603</v>
      </c>
      <c r="R172" s="612">
        <f t="shared" ref="R172:T172" si="74">(R167-$Q$152)/$Q$152</f>
        <v>-0.25501833931743556</v>
      </c>
      <c r="S172" s="612">
        <f t="shared" si="74"/>
        <v>-0.49672986476290548</v>
      </c>
      <c r="T172" s="612">
        <f t="shared" si="74"/>
        <v>-0.62990627079536621</v>
      </c>
    </row>
    <row r="173" spans="1:20" s="581" customFormat="1" ht="33" hidden="1" outlineLevel="1">
      <c r="A173" s="613" t="s">
        <v>655</v>
      </c>
      <c r="B173" s="614"/>
      <c r="C173" s="614"/>
      <c r="D173" s="614"/>
      <c r="E173" s="614"/>
      <c r="F173" s="614"/>
      <c r="G173" s="614"/>
      <c r="H173" s="614"/>
      <c r="I173" s="614"/>
      <c r="J173" s="614"/>
      <c r="K173" s="614"/>
      <c r="L173" s="614"/>
      <c r="M173" s="614"/>
      <c r="N173" s="614"/>
      <c r="O173" s="614"/>
      <c r="P173" s="614">
        <f>P172*$Q$157</f>
        <v>-6.1947363569606957E-2</v>
      </c>
      <c r="Q173" s="614">
        <f>Q172*$Q$157</f>
        <v>-0.10213441694345206</v>
      </c>
      <c r="R173" s="614">
        <f t="shared" ref="R173:T173" si="75">R172*$Q$157</f>
        <v>-0.19464946754931423</v>
      </c>
      <c r="S173" s="614">
        <f t="shared" si="75"/>
        <v>-0.37914215875897933</v>
      </c>
      <c r="T173" s="614">
        <f t="shared" si="75"/>
        <v>-0.48079256003495313</v>
      </c>
    </row>
    <row r="174" spans="1:20" s="581" customFormat="1" ht="33" hidden="1" outlineLevel="1">
      <c r="A174" s="615" t="s">
        <v>656</v>
      </c>
      <c r="B174" s="616"/>
      <c r="C174" s="616"/>
      <c r="D174" s="616"/>
      <c r="E174" s="616"/>
      <c r="F174" s="616"/>
      <c r="G174" s="616"/>
      <c r="H174" s="616"/>
      <c r="I174" s="616"/>
      <c r="J174" s="616"/>
      <c r="K174" s="616"/>
      <c r="L174" s="616"/>
      <c r="M174" s="616"/>
      <c r="N174" s="616"/>
      <c r="O174" s="616"/>
      <c r="P174" s="616">
        <f>100%+P173</f>
        <v>0.93805263643039305</v>
      </c>
      <c r="Q174" s="616">
        <f>100%+Q173</f>
        <v>0.89786558305654796</v>
      </c>
      <c r="R174" s="616">
        <f t="shared" ref="R174:T174" si="76">100%+R173</f>
        <v>0.80535053245068577</v>
      </c>
      <c r="S174" s="616">
        <f t="shared" si="76"/>
        <v>0.62085784124102061</v>
      </c>
      <c r="T174" s="616">
        <f t="shared" si="76"/>
        <v>0.51920743996504681</v>
      </c>
    </row>
    <row r="175" spans="1:20" s="581" customFormat="1" hidden="1" outlineLevel="1"/>
    <row r="176" spans="1:20" s="581" customFormat="1" ht="18" hidden="1" outlineLevel="1">
      <c r="A176" s="187" t="s">
        <v>657</v>
      </c>
    </row>
    <row r="177" spans="1:61" s="581" customFormat="1" hidden="1" outlineLevel="1">
      <c r="A177" s="588"/>
      <c r="B177" s="589"/>
      <c r="C177" s="589"/>
      <c r="D177" s="589"/>
      <c r="E177" s="589"/>
      <c r="F177" s="589"/>
      <c r="G177" s="589"/>
      <c r="H177" s="589"/>
      <c r="I177" s="589"/>
      <c r="J177" s="589"/>
      <c r="K177" s="589"/>
      <c r="L177" s="589"/>
      <c r="M177" s="589"/>
      <c r="N177" s="589"/>
      <c r="O177" s="589"/>
      <c r="P177" s="588"/>
      <c r="Q177" s="588"/>
      <c r="R177" s="588"/>
      <c r="S177" s="588">
        <v>2019</v>
      </c>
      <c r="T177" s="588">
        <f>S177+1</f>
        <v>2020</v>
      </c>
      <c r="U177" s="588">
        <f t="shared" ref="U177:BI177" si="77">T177+1</f>
        <v>2021</v>
      </c>
      <c r="V177" s="588">
        <f t="shared" si="77"/>
        <v>2022</v>
      </c>
      <c r="W177" s="588">
        <f t="shared" si="77"/>
        <v>2023</v>
      </c>
      <c r="X177" s="588">
        <f t="shared" si="77"/>
        <v>2024</v>
      </c>
      <c r="Y177" s="588">
        <f t="shared" si="77"/>
        <v>2025</v>
      </c>
      <c r="Z177" s="588">
        <f t="shared" si="77"/>
        <v>2026</v>
      </c>
      <c r="AA177" s="588">
        <f t="shared" si="77"/>
        <v>2027</v>
      </c>
      <c r="AB177" s="588">
        <f t="shared" si="77"/>
        <v>2028</v>
      </c>
      <c r="AC177" s="588">
        <f t="shared" si="77"/>
        <v>2029</v>
      </c>
      <c r="AD177" s="588">
        <f t="shared" si="77"/>
        <v>2030</v>
      </c>
      <c r="AE177" s="588">
        <f t="shared" si="77"/>
        <v>2031</v>
      </c>
      <c r="AF177" s="588">
        <f t="shared" si="77"/>
        <v>2032</v>
      </c>
      <c r="AG177" s="588">
        <f t="shared" si="77"/>
        <v>2033</v>
      </c>
      <c r="AH177" s="588">
        <f t="shared" si="77"/>
        <v>2034</v>
      </c>
      <c r="AI177" s="588">
        <f t="shared" si="77"/>
        <v>2035</v>
      </c>
      <c r="AJ177" s="588">
        <f t="shared" si="77"/>
        <v>2036</v>
      </c>
      <c r="AK177" s="588">
        <f t="shared" si="77"/>
        <v>2037</v>
      </c>
      <c r="AL177" s="588">
        <f t="shared" si="77"/>
        <v>2038</v>
      </c>
      <c r="AM177" s="588">
        <f t="shared" si="77"/>
        <v>2039</v>
      </c>
      <c r="AN177" s="588">
        <f t="shared" si="77"/>
        <v>2040</v>
      </c>
      <c r="AO177" s="588">
        <f t="shared" si="77"/>
        <v>2041</v>
      </c>
      <c r="AP177" s="588">
        <f t="shared" si="77"/>
        <v>2042</v>
      </c>
      <c r="AQ177" s="588">
        <f t="shared" si="77"/>
        <v>2043</v>
      </c>
      <c r="AR177" s="588">
        <f t="shared" si="77"/>
        <v>2044</v>
      </c>
      <c r="AS177" s="588">
        <f t="shared" si="77"/>
        <v>2045</v>
      </c>
      <c r="AT177" s="588">
        <f t="shared" si="77"/>
        <v>2046</v>
      </c>
      <c r="AU177" s="588">
        <f t="shared" si="77"/>
        <v>2047</v>
      </c>
      <c r="AV177" s="588">
        <f t="shared" si="77"/>
        <v>2048</v>
      </c>
      <c r="AW177" s="588">
        <f t="shared" si="77"/>
        <v>2049</v>
      </c>
      <c r="AX177" s="588">
        <f t="shared" si="77"/>
        <v>2050</v>
      </c>
      <c r="AY177" s="588">
        <f t="shared" si="77"/>
        <v>2051</v>
      </c>
      <c r="AZ177" s="588">
        <f t="shared" si="77"/>
        <v>2052</v>
      </c>
      <c r="BA177" s="588">
        <f t="shared" si="77"/>
        <v>2053</v>
      </c>
      <c r="BB177" s="588">
        <f t="shared" si="77"/>
        <v>2054</v>
      </c>
      <c r="BC177" s="588">
        <f t="shared" si="77"/>
        <v>2055</v>
      </c>
      <c r="BD177" s="588">
        <f t="shared" si="77"/>
        <v>2056</v>
      </c>
      <c r="BE177" s="588">
        <f t="shared" si="77"/>
        <v>2057</v>
      </c>
      <c r="BF177" s="588">
        <f t="shared" si="77"/>
        <v>2058</v>
      </c>
      <c r="BG177" s="588">
        <f t="shared" si="77"/>
        <v>2059</v>
      </c>
      <c r="BH177" s="588">
        <f t="shared" si="77"/>
        <v>2060</v>
      </c>
      <c r="BI177" s="588">
        <f t="shared" si="77"/>
        <v>2061</v>
      </c>
    </row>
    <row r="178" spans="1:61" s="581" customFormat="1" ht="48" hidden="1" outlineLevel="1">
      <c r="A178" s="617" t="s">
        <v>454</v>
      </c>
      <c r="B178" s="618" t="s">
        <v>393</v>
      </c>
      <c r="C178" s="619"/>
      <c r="D178" s="619"/>
      <c r="E178" s="619"/>
      <c r="F178" s="619"/>
      <c r="G178" s="619"/>
      <c r="H178" s="619"/>
      <c r="I178" s="619"/>
      <c r="J178" s="619"/>
      <c r="K178" s="619"/>
      <c r="L178" s="619"/>
      <c r="M178" s="619"/>
      <c r="N178" s="619"/>
      <c r="O178" s="619"/>
      <c r="P178" s="619"/>
      <c r="Q178" s="619"/>
      <c r="R178" s="619"/>
      <c r="S178" s="620">
        <f>Q142</f>
        <v>719</v>
      </c>
      <c r="T178" s="621">
        <f>$S178*$P$174</f>
        <v>674.45984559345266</v>
      </c>
      <c r="U178" s="619">
        <f>T178+($Y178-$T178)/($Y$177-$T$177)</f>
        <v>668.68094731829376</v>
      </c>
      <c r="V178" s="619">
        <f t="shared" ref="V178:X178" si="78">U178+($Y178-$T178)/($Y$177-$T$177)</f>
        <v>662.90204904313487</v>
      </c>
      <c r="W178" s="619">
        <f t="shared" si="78"/>
        <v>657.12315076797597</v>
      </c>
      <c r="X178" s="619">
        <f t="shared" si="78"/>
        <v>651.34425249281708</v>
      </c>
      <c r="Y178" s="621">
        <f>$S178*$Q$174</f>
        <v>645.56535421765795</v>
      </c>
      <c r="Z178" s="619">
        <f>Y178+($AD178-$Y178)/($AD$177-$Y$177)</f>
        <v>632.26168994053501</v>
      </c>
      <c r="AA178" s="619">
        <f>Z178+($AD178-$Y178)/($AD$177-$Y$177)</f>
        <v>618.95802566341206</v>
      </c>
      <c r="AB178" s="619">
        <f t="shared" ref="AB178:AC178" si="79">AA178+($AD178-$Y178)/($AD$177-$Y$177)</f>
        <v>605.65436138628911</v>
      </c>
      <c r="AC178" s="619">
        <f t="shared" si="79"/>
        <v>592.35069710916616</v>
      </c>
      <c r="AD178" s="621">
        <f>$S178*$R$174</f>
        <v>579.0470328320431</v>
      </c>
      <c r="AE178" s="619">
        <f t="shared" ref="AE178" si="80">AD178+($AI178-$AD178)/($AI$177-$AD$177)</f>
        <v>552.51698383609323</v>
      </c>
      <c r="AF178" s="619">
        <f>AE178+($AI178-$AD178)/($AI$177-$AD$177)</f>
        <v>525.98693484014336</v>
      </c>
      <c r="AG178" s="619">
        <f t="shared" ref="AG178:AH178" si="81">AF178+($AI178-$AD178)/($AI$177-$AD$177)</f>
        <v>499.45688584419349</v>
      </c>
      <c r="AH178" s="619">
        <f t="shared" si="81"/>
        <v>472.92683684824362</v>
      </c>
      <c r="AI178" s="621">
        <f>$S178*$S$174</f>
        <v>446.39678785229381</v>
      </c>
      <c r="AJ178" s="619">
        <f t="shared" ref="AJ178" si="82">AI178+($AN178-$AI178)/($AN$177-$AI$177)</f>
        <v>431.77946014880877</v>
      </c>
      <c r="AK178" s="619">
        <f>AJ178+($AN178-$AI178)/($AN$177-$AI$177)</f>
        <v>417.16213244532372</v>
      </c>
      <c r="AL178" s="619">
        <f t="shared" ref="AL178:AM178" si="83">AK178+($AN178-$AI178)/($AN$177-$AI$177)</f>
        <v>402.54480474183867</v>
      </c>
      <c r="AM178" s="619">
        <f t="shared" si="83"/>
        <v>387.92747703835363</v>
      </c>
      <c r="AN178" s="621">
        <f>$S178*$T$174</f>
        <v>373.31014933486864</v>
      </c>
      <c r="AO178" s="619">
        <f>AN178</f>
        <v>373.31014933486864</v>
      </c>
      <c r="AP178" s="619">
        <f t="shared" ref="AP178:BI178" si="84">AO178</f>
        <v>373.31014933486864</v>
      </c>
      <c r="AQ178" s="619">
        <f t="shared" si="84"/>
        <v>373.31014933486864</v>
      </c>
      <c r="AR178" s="619">
        <f t="shared" si="84"/>
        <v>373.31014933486864</v>
      </c>
      <c r="AS178" s="619">
        <f t="shared" si="84"/>
        <v>373.31014933486864</v>
      </c>
      <c r="AT178" s="619">
        <f t="shared" si="84"/>
        <v>373.31014933486864</v>
      </c>
      <c r="AU178" s="619">
        <f t="shared" si="84"/>
        <v>373.31014933486864</v>
      </c>
      <c r="AV178" s="619">
        <f t="shared" si="84"/>
        <v>373.31014933486864</v>
      </c>
      <c r="AW178" s="619">
        <f t="shared" si="84"/>
        <v>373.31014933486864</v>
      </c>
      <c r="AX178" s="619">
        <f t="shared" si="84"/>
        <v>373.31014933486864</v>
      </c>
      <c r="AY178" s="619">
        <f t="shared" si="84"/>
        <v>373.31014933486864</v>
      </c>
      <c r="AZ178" s="619">
        <f t="shared" si="84"/>
        <v>373.31014933486864</v>
      </c>
      <c r="BA178" s="619">
        <f t="shared" si="84"/>
        <v>373.31014933486864</v>
      </c>
      <c r="BB178" s="619">
        <f t="shared" si="84"/>
        <v>373.31014933486864</v>
      </c>
      <c r="BC178" s="619">
        <f t="shared" si="84"/>
        <v>373.31014933486864</v>
      </c>
      <c r="BD178" s="619">
        <f t="shared" si="84"/>
        <v>373.31014933486864</v>
      </c>
      <c r="BE178" s="619">
        <f t="shared" si="84"/>
        <v>373.31014933486864</v>
      </c>
      <c r="BF178" s="619">
        <f t="shared" si="84"/>
        <v>373.31014933486864</v>
      </c>
      <c r="BG178" s="619">
        <f t="shared" si="84"/>
        <v>373.31014933486864</v>
      </c>
      <c r="BH178" s="619">
        <f t="shared" si="84"/>
        <v>373.31014933486864</v>
      </c>
      <c r="BI178" s="619">
        <f t="shared" si="84"/>
        <v>373.31014933486864</v>
      </c>
    </row>
    <row r="179" spans="1:61" s="592" customFormat="1" hidden="1" outlineLevel="1">
      <c r="A179" s="130" t="s">
        <v>501</v>
      </c>
      <c r="B179" s="622"/>
      <c r="C179" s="622"/>
      <c r="D179" s="622"/>
      <c r="E179" s="622"/>
      <c r="F179" s="622"/>
      <c r="G179" s="622"/>
      <c r="H179" s="622"/>
      <c r="I179" s="622"/>
      <c r="J179" s="622"/>
      <c r="K179" s="622"/>
      <c r="L179" s="622"/>
      <c r="M179" s="622"/>
      <c r="N179" s="622"/>
      <c r="O179" s="622"/>
      <c r="P179" s="622"/>
      <c r="Q179" s="622"/>
      <c r="R179" s="622"/>
      <c r="S179" s="644"/>
      <c r="T179" s="622">
        <f>(T$178-S$178)/S$178</f>
        <v>-6.1947363569606874E-2</v>
      </c>
      <c r="U179" s="622">
        <f t="shared" ref="U179:BI179" si="85">(U$178-T$178)/T$178</f>
        <v>-8.5681872878200505E-3</v>
      </c>
      <c r="V179" s="622">
        <f t="shared" si="85"/>
        <v>-8.6422355808623407E-3</v>
      </c>
      <c r="W179" s="622">
        <f t="shared" si="85"/>
        <v>-8.7175749169887736E-3</v>
      </c>
      <c r="X179" s="622">
        <f t="shared" si="85"/>
        <v>-8.7942393574250589E-3</v>
      </c>
      <c r="Y179" s="622">
        <f t="shared" si="85"/>
        <v>-8.872264172198021E-3</v>
      </c>
      <c r="Z179" s="622">
        <f t="shared" si="85"/>
        <v>-2.0607773001147616E-2</v>
      </c>
      <c r="AA179" s="622">
        <f t="shared" si="85"/>
        <v>-2.1041389172850523E-2</v>
      </c>
      <c r="AB179" s="622">
        <f t="shared" si="85"/>
        <v>-2.1493645328960399E-2</v>
      </c>
      <c r="AC179" s="622">
        <f t="shared" si="85"/>
        <v>-2.1965769794296604E-2</v>
      </c>
      <c r="AD179" s="622">
        <f t="shared" si="85"/>
        <v>-2.2459101241964586E-2</v>
      </c>
      <c r="AE179" s="622">
        <f t="shared" si="85"/>
        <v>-4.5816742840723797E-2</v>
      </c>
      <c r="AF179" s="622">
        <f t="shared" si="85"/>
        <v>-4.8016712195439286E-2</v>
      </c>
      <c r="AG179" s="622">
        <f t="shared" si="85"/>
        <v>-5.0438608335419619E-2</v>
      </c>
      <c r="AH179" s="622">
        <f t="shared" si="85"/>
        <v>-5.3117796045815187E-2</v>
      </c>
      <c r="AI179" s="622">
        <f t="shared" si="85"/>
        <v>-5.6097575626614264E-2</v>
      </c>
      <c r="AJ179" s="622">
        <f t="shared" si="85"/>
        <v>-3.2745145353334636E-2</v>
      </c>
      <c r="AK179" s="622">
        <f t="shared" si="85"/>
        <v>-3.3853689331232478E-2</v>
      </c>
      <c r="AL179" s="622">
        <f t="shared" si="85"/>
        <v>-3.5039919893498236E-2</v>
      </c>
      <c r="AM179" s="622">
        <f t="shared" si="85"/>
        <v>-3.6312299975798913E-2</v>
      </c>
      <c r="AN179" s="622">
        <f t="shared" si="85"/>
        <v>-3.7680568066695112E-2</v>
      </c>
      <c r="AO179" s="622">
        <f t="shared" si="85"/>
        <v>0</v>
      </c>
      <c r="AP179" s="622">
        <f t="shared" si="85"/>
        <v>0</v>
      </c>
      <c r="AQ179" s="622">
        <f t="shared" si="85"/>
        <v>0</v>
      </c>
      <c r="AR179" s="622">
        <f t="shared" si="85"/>
        <v>0</v>
      </c>
      <c r="AS179" s="622">
        <f t="shared" si="85"/>
        <v>0</v>
      </c>
      <c r="AT179" s="622">
        <f t="shared" si="85"/>
        <v>0</v>
      </c>
      <c r="AU179" s="622">
        <f t="shared" si="85"/>
        <v>0</v>
      </c>
      <c r="AV179" s="622">
        <f t="shared" si="85"/>
        <v>0</v>
      </c>
      <c r="AW179" s="622">
        <f t="shared" si="85"/>
        <v>0</v>
      </c>
      <c r="AX179" s="622">
        <f t="shared" si="85"/>
        <v>0</v>
      </c>
      <c r="AY179" s="622">
        <f t="shared" si="85"/>
        <v>0</v>
      </c>
      <c r="AZ179" s="622">
        <f t="shared" si="85"/>
        <v>0</v>
      </c>
      <c r="BA179" s="622">
        <f t="shared" si="85"/>
        <v>0</v>
      </c>
      <c r="BB179" s="622">
        <f t="shared" si="85"/>
        <v>0</v>
      </c>
      <c r="BC179" s="622">
        <f t="shared" si="85"/>
        <v>0</v>
      </c>
      <c r="BD179" s="622">
        <f t="shared" si="85"/>
        <v>0</v>
      </c>
      <c r="BE179" s="622">
        <f t="shared" si="85"/>
        <v>0</v>
      </c>
      <c r="BF179" s="622">
        <f t="shared" si="85"/>
        <v>0</v>
      </c>
      <c r="BG179" s="622">
        <f t="shared" si="85"/>
        <v>0</v>
      </c>
      <c r="BH179" s="622">
        <f t="shared" si="85"/>
        <v>0</v>
      </c>
      <c r="BI179" s="622">
        <f t="shared" si="85"/>
        <v>0</v>
      </c>
    </row>
    <row r="180" spans="1:61" s="581" customFormat="1" hidden="1" outlineLevel="1">
      <c r="A180" s="130" t="s">
        <v>846</v>
      </c>
      <c r="B180" s="622"/>
      <c r="C180" s="622"/>
      <c r="D180" s="622"/>
      <c r="E180" s="622"/>
      <c r="F180" s="622"/>
      <c r="G180" s="622"/>
      <c r="H180" s="622"/>
      <c r="I180" s="622"/>
      <c r="J180" s="622"/>
      <c r="K180" s="622"/>
      <c r="L180" s="622"/>
      <c r="M180" s="622"/>
      <c r="N180" s="622"/>
      <c r="O180" s="622"/>
      <c r="P180" s="622"/>
      <c r="Q180" s="622"/>
      <c r="R180" s="622"/>
      <c r="S180" s="622">
        <f t="shared" ref="S180" si="86">(S$178-$S$178)/$S$178</f>
        <v>0</v>
      </c>
      <c r="T180" s="622">
        <f>(T$178-$S$178)/$S$178</f>
        <v>-6.1947363569606874E-2</v>
      </c>
      <c r="U180" s="622">
        <f t="shared" ref="U180:BI180" si="87">(U$178-$S$178)/$S$178</f>
        <v>-6.9984774244375852E-2</v>
      </c>
      <c r="V180" s="622">
        <f t="shared" si="87"/>
        <v>-7.8022184919144838E-2</v>
      </c>
      <c r="W180" s="622">
        <f t="shared" si="87"/>
        <v>-8.605959559391381E-2</v>
      </c>
      <c r="X180" s="622">
        <f t="shared" si="87"/>
        <v>-9.4097006268682781E-2</v>
      </c>
      <c r="Y180" s="622">
        <f t="shared" si="87"/>
        <v>-0.10213441694345209</v>
      </c>
      <c r="Z180" s="622">
        <f t="shared" si="87"/>
        <v>-0.12063742706462446</v>
      </c>
      <c r="AA180" s="622">
        <f t="shared" si="87"/>
        <v>-0.13914043718579686</v>
      </c>
      <c r="AB180" s="622">
        <f t="shared" si="87"/>
        <v>-0.15764344730696925</v>
      </c>
      <c r="AC180" s="622">
        <f t="shared" si="87"/>
        <v>-0.17614645742814164</v>
      </c>
      <c r="AD180" s="622">
        <f t="shared" si="87"/>
        <v>-0.1946494675493142</v>
      </c>
      <c r="AE180" s="622">
        <f t="shared" si="87"/>
        <v>-0.23154800579124724</v>
      </c>
      <c r="AF180" s="622">
        <f t="shared" si="87"/>
        <v>-0.2684465440331803</v>
      </c>
      <c r="AG180" s="622">
        <f t="shared" si="87"/>
        <v>-0.30534508227511337</v>
      </c>
      <c r="AH180" s="622">
        <f t="shared" si="87"/>
        <v>-0.34224362051704643</v>
      </c>
      <c r="AI180" s="622">
        <f t="shared" si="87"/>
        <v>-0.37914215875897939</v>
      </c>
      <c r="AJ180" s="622">
        <f t="shared" si="87"/>
        <v>-0.39947223901417417</v>
      </c>
      <c r="AK180" s="622">
        <f t="shared" si="87"/>
        <v>-0.41980231926936895</v>
      </c>
      <c r="AL180" s="622">
        <f t="shared" si="87"/>
        <v>-0.44013239952456373</v>
      </c>
      <c r="AM180" s="622">
        <f t="shared" si="87"/>
        <v>-0.46046247977975852</v>
      </c>
      <c r="AN180" s="622">
        <f t="shared" si="87"/>
        <v>-0.48079256003495319</v>
      </c>
      <c r="AO180" s="622">
        <f t="shared" si="87"/>
        <v>-0.48079256003495319</v>
      </c>
      <c r="AP180" s="622">
        <f t="shared" si="87"/>
        <v>-0.48079256003495319</v>
      </c>
      <c r="AQ180" s="622">
        <f t="shared" si="87"/>
        <v>-0.48079256003495319</v>
      </c>
      <c r="AR180" s="622">
        <f t="shared" si="87"/>
        <v>-0.48079256003495319</v>
      </c>
      <c r="AS180" s="622">
        <f t="shared" si="87"/>
        <v>-0.48079256003495319</v>
      </c>
      <c r="AT180" s="622">
        <f t="shared" si="87"/>
        <v>-0.48079256003495319</v>
      </c>
      <c r="AU180" s="622">
        <f t="shared" si="87"/>
        <v>-0.48079256003495319</v>
      </c>
      <c r="AV180" s="622">
        <f t="shared" si="87"/>
        <v>-0.48079256003495319</v>
      </c>
      <c r="AW180" s="622">
        <f t="shared" si="87"/>
        <v>-0.48079256003495319</v>
      </c>
      <c r="AX180" s="622">
        <f t="shared" si="87"/>
        <v>-0.48079256003495319</v>
      </c>
      <c r="AY180" s="622">
        <f t="shared" si="87"/>
        <v>-0.48079256003495319</v>
      </c>
      <c r="AZ180" s="622">
        <f t="shared" si="87"/>
        <v>-0.48079256003495319</v>
      </c>
      <c r="BA180" s="622">
        <f t="shared" si="87"/>
        <v>-0.48079256003495319</v>
      </c>
      <c r="BB180" s="622">
        <f t="shared" si="87"/>
        <v>-0.48079256003495319</v>
      </c>
      <c r="BC180" s="622">
        <f t="shared" si="87"/>
        <v>-0.48079256003495319</v>
      </c>
      <c r="BD180" s="622">
        <f t="shared" si="87"/>
        <v>-0.48079256003495319</v>
      </c>
      <c r="BE180" s="622">
        <f t="shared" si="87"/>
        <v>-0.48079256003495319</v>
      </c>
      <c r="BF180" s="622">
        <f t="shared" si="87"/>
        <v>-0.48079256003495319</v>
      </c>
      <c r="BG180" s="622">
        <f t="shared" si="87"/>
        <v>-0.48079256003495319</v>
      </c>
      <c r="BH180" s="622">
        <f t="shared" si="87"/>
        <v>-0.48079256003495319</v>
      </c>
      <c r="BI180" s="622">
        <f t="shared" si="87"/>
        <v>-0.48079256003495319</v>
      </c>
    </row>
    <row r="181" spans="1:61" s="581" customFormat="1" hidden="1" outlineLevel="1">
      <c r="A181" s="35" t="s">
        <v>661</v>
      </c>
      <c r="B181" s="144"/>
      <c r="AD181"/>
    </row>
    <row r="182" spans="1:61" s="586" customFormat="1" hidden="1" outlineLevel="1">
      <c r="A182" s="591" t="s">
        <v>658</v>
      </c>
      <c r="B182" s="144"/>
    </row>
    <row r="183" spans="1:61" s="586" customFormat="1" hidden="1" outlineLevel="1">
      <c r="A183" s="591" t="s">
        <v>659</v>
      </c>
      <c r="B183" s="144"/>
    </row>
    <row r="184" spans="1:61" s="586" customFormat="1" hidden="1" outlineLevel="1">
      <c r="A184" s="591" t="s">
        <v>660</v>
      </c>
      <c r="B184" s="144"/>
    </row>
    <row r="185" spans="1:61" s="586" customFormat="1" hidden="1" outlineLevel="1">
      <c r="A185" s="144"/>
      <c r="B185" s="144"/>
    </row>
    <row r="186" spans="1:61" hidden="1" outlineLevel="1">
      <c r="A186" s="114" t="s">
        <v>64</v>
      </c>
      <c r="B186" s="311"/>
      <c r="C186" s="311"/>
      <c r="D186" s="311"/>
      <c r="E186" s="311"/>
      <c r="F186" s="311"/>
      <c r="G186" s="311"/>
      <c r="H186" s="311"/>
      <c r="I186" s="311"/>
      <c r="J186" s="311"/>
      <c r="K186" s="311"/>
      <c r="L186" s="311"/>
      <c r="M186" s="311"/>
      <c r="N186" s="311"/>
      <c r="O186" s="311"/>
      <c r="P186" s="311"/>
      <c r="Q186" s="311"/>
    </row>
    <row r="187" spans="1:61" hidden="1" outlineLevel="1">
      <c r="A187" s="117" t="s">
        <v>65</v>
      </c>
      <c r="B187" s="311"/>
      <c r="C187" s="311"/>
      <c r="D187" s="311"/>
      <c r="E187" s="311"/>
      <c r="F187" s="311"/>
      <c r="G187" s="311"/>
      <c r="H187" s="311"/>
      <c r="I187" s="311"/>
      <c r="J187" s="311"/>
      <c r="K187" s="311"/>
      <c r="L187" s="311"/>
      <c r="M187" s="311"/>
      <c r="N187" s="311"/>
      <c r="O187" s="311"/>
      <c r="P187" s="311"/>
      <c r="Q187" s="311"/>
    </row>
    <row r="188" spans="1:61" ht="78.75" hidden="1" customHeight="1" outlineLevel="1" thickBot="1">
      <c r="A188" s="313" t="s">
        <v>662</v>
      </c>
      <c r="B188" s="120"/>
      <c r="C188" s="120"/>
      <c r="D188" s="120"/>
      <c r="E188" s="120"/>
      <c r="F188" s="120"/>
      <c r="G188" s="120"/>
      <c r="H188" s="120"/>
      <c r="I188" s="120"/>
      <c r="J188" s="120"/>
      <c r="K188" s="120"/>
      <c r="L188" s="120"/>
      <c r="M188" s="120"/>
      <c r="N188" s="120"/>
      <c r="O188" s="120"/>
      <c r="P188" s="313" t="s">
        <v>100</v>
      </c>
      <c r="Q188" s="198" t="s">
        <v>663</v>
      </c>
    </row>
    <row r="189" spans="1:61" ht="30" hidden="1" outlineLevel="1">
      <c r="A189" s="309" t="s">
        <v>50</v>
      </c>
      <c r="B189" s="309" t="s">
        <v>51</v>
      </c>
      <c r="C189" s="311"/>
      <c r="D189" s="311"/>
      <c r="E189" s="311"/>
      <c r="F189" s="311"/>
      <c r="G189" s="311"/>
      <c r="H189" s="311"/>
      <c r="I189" s="311"/>
      <c r="J189" s="311"/>
      <c r="K189" s="311"/>
      <c r="L189" s="311"/>
      <c r="M189" s="311"/>
      <c r="N189" s="311"/>
      <c r="O189" s="311"/>
      <c r="P189" s="115">
        <f>'VOC eksploatacja samochody'!P237</f>
        <v>1.81</v>
      </c>
      <c r="Q189" s="87">
        <v>128</v>
      </c>
    </row>
    <row r="190" spans="1:61" ht="30" hidden="1" outlineLevel="1">
      <c r="A190" s="309" t="str">
        <f>A189</f>
        <v>Samochód osobowy, hybrydowy benzyna +elektryczny</v>
      </c>
      <c r="B190" s="309" t="s">
        <v>52</v>
      </c>
      <c r="C190" s="311"/>
      <c r="D190" s="311"/>
      <c r="E190" s="311"/>
      <c r="F190" s="311"/>
      <c r="G190" s="311"/>
      <c r="H190" s="311"/>
      <c r="I190" s="311"/>
      <c r="J190" s="311"/>
      <c r="K190" s="311"/>
      <c r="L190" s="311"/>
      <c r="M190" s="311"/>
      <c r="N190" s="311"/>
      <c r="O190" s="311"/>
      <c r="P190" s="115">
        <f>'VOC eksploatacja samochody'!P238</f>
        <v>2.37</v>
      </c>
      <c r="Q190" s="87">
        <v>168</v>
      </c>
    </row>
    <row r="191" spans="1:61" ht="30" hidden="1" outlineLevel="1">
      <c r="A191" s="309" t="s">
        <v>53</v>
      </c>
      <c r="B191" s="309" t="s">
        <v>51</v>
      </c>
      <c r="C191" s="311"/>
      <c r="D191" s="311"/>
      <c r="E191" s="311"/>
      <c r="F191" s="311"/>
      <c r="G191" s="311"/>
      <c r="H191" s="311"/>
      <c r="I191" s="311"/>
      <c r="J191" s="311"/>
      <c r="K191" s="311"/>
      <c r="L191" s="311"/>
      <c r="M191" s="311"/>
      <c r="N191" s="311"/>
      <c r="O191" s="311"/>
      <c r="P191" s="115">
        <f>'VOC eksploatacja samochody'!P239</f>
        <v>0.84</v>
      </c>
      <c r="Q191" s="87">
        <v>0</v>
      </c>
    </row>
    <row r="192" spans="1:61" ht="30" hidden="1" outlineLevel="1">
      <c r="A192" s="309" t="s">
        <v>53</v>
      </c>
      <c r="B192" s="309" t="s">
        <v>52</v>
      </c>
      <c r="C192" s="311"/>
      <c r="D192" s="311"/>
      <c r="E192" s="311"/>
      <c r="F192" s="311"/>
      <c r="G192" s="311"/>
      <c r="H192" s="311"/>
      <c r="I192" s="311"/>
      <c r="J192" s="311"/>
      <c r="K192" s="311"/>
      <c r="L192" s="311"/>
      <c r="M192" s="311"/>
      <c r="N192" s="311"/>
      <c r="O192" s="311"/>
      <c r="P192" s="115">
        <f>'VOC eksploatacja samochody'!P240</f>
        <v>0.73</v>
      </c>
      <c r="Q192" s="87">
        <v>0</v>
      </c>
    </row>
    <row r="193" spans="1:61" ht="45" hidden="1" outlineLevel="1">
      <c r="A193" s="309" t="s">
        <v>54</v>
      </c>
      <c r="B193" s="309" t="s">
        <v>51</v>
      </c>
      <c r="C193" s="311"/>
      <c r="D193" s="311"/>
      <c r="E193" s="311"/>
      <c r="F193" s="311"/>
      <c r="G193" s="311"/>
      <c r="H193" s="311"/>
      <c r="I193" s="311"/>
      <c r="J193" s="311"/>
      <c r="K193" s="311"/>
      <c r="L193" s="311"/>
      <c r="M193" s="311"/>
      <c r="N193" s="311"/>
      <c r="O193" s="311"/>
      <c r="P193" s="115">
        <f>'VOC eksploatacja samochody'!P241</f>
        <v>11.42</v>
      </c>
      <c r="Q193" s="87">
        <v>809</v>
      </c>
    </row>
    <row r="194" spans="1:61" ht="30" hidden="1" outlineLevel="1">
      <c r="A194" s="310" t="s">
        <v>55</v>
      </c>
      <c r="B194" s="310" t="s">
        <v>51</v>
      </c>
      <c r="C194" s="312"/>
      <c r="D194" s="312"/>
      <c r="E194" s="312"/>
      <c r="F194" s="312"/>
      <c r="G194" s="312"/>
      <c r="H194" s="312"/>
      <c r="I194" s="312"/>
      <c r="J194" s="312"/>
      <c r="K194" s="312"/>
      <c r="L194" s="312"/>
      <c r="M194" s="312"/>
      <c r="N194" s="312"/>
      <c r="O194" s="312"/>
      <c r="P194" s="122">
        <f>'VOC eksploatacja samochody'!P242</f>
        <v>7.83</v>
      </c>
      <c r="Q194" s="123">
        <v>0</v>
      </c>
    </row>
    <row r="195" spans="1:61" hidden="1" outlineLevel="1">
      <c r="A195" s="126" t="s">
        <v>664</v>
      </c>
      <c r="B195" s="144"/>
      <c r="C195" s="144"/>
      <c r="D195" s="144"/>
      <c r="E195" s="144"/>
      <c r="F195" s="144"/>
      <c r="G195" s="144"/>
      <c r="H195" s="144"/>
      <c r="I195" s="144"/>
      <c r="J195" s="144"/>
      <c r="K195" s="144"/>
      <c r="L195" s="144"/>
      <c r="M195" s="144"/>
      <c r="N195" s="144"/>
      <c r="O195" s="144"/>
      <c r="P195" s="145"/>
      <c r="Q195" s="146"/>
    </row>
    <row r="196" spans="1:61" hidden="1" outlineLevel="1">
      <c r="A196" s="35" t="s">
        <v>665</v>
      </c>
      <c r="B196" s="311"/>
      <c r="C196" s="311"/>
      <c r="D196" s="311"/>
      <c r="E196" s="311"/>
      <c r="F196" s="311"/>
      <c r="G196" s="311"/>
      <c r="H196" s="311"/>
      <c r="I196" s="311"/>
      <c r="J196" s="311"/>
      <c r="K196" s="311"/>
      <c r="L196" s="311"/>
      <c r="M196" s="311"/>
      <c r="N196" s="311"/>
      <c r="O196" s="311"/>
      <c r="P196" s="311"/>
      <c r="Q196" s="311"/>
    </row>
    <row r="197" spans="1:61" hidden="1" outlineLevel="1">
      <c r="A197" s="774" t="s">
        <v>666</v>
      </c>
      <c r="B197" s="774"/>
      <c r="C197" s="774"/>
      <c r="D197" s="774"/>
      <c r="E197" s="774"/>
      <c r="F197" s="774"/>
      <c r="G197" s="774"/>
      <c r="H197" s="774"/>
      <c r="I197" s="774"/>
      <c r="J197" s="774"/>
      <c r="K197" s="774"/>
      <c r="L197" s="774"/>
      <c r="M197" s="774"/>
      <c r="N197" s="774"/>
      <c r="O197" s="774"/>
      <c r="P197" s="774"/>
      <c r="Q197" s="774"/>
      <c r="R197" s="774"/>
      <c r="S197" s="774"/>
      <c r="T197" s="774"/>
      <c r="U197" s="774"/>
      <c r="V197" s="774"/>
    </row>
    <row r="198" spans="1:61" s="592" customFormat="1" hidden="1" outlineLevel="1">
      <c r="A198" s="774"/>
      <c r="B198" s="774"/>
      <c r="C198" s="774"/>
      <c r="D198" s="774"/>
      <c r="E198" s="774"/>
      <c r="F198" s="774"/>
      <c r="G198" s="774"/>
      <c r="H198" s="774"/>
      <c r="I198" s="774"/>
      <c r="J198" s="774"/>
      <c r="K198" s="774"/>
      <c r="L198" s="774"/>
      <c r="M198" s="774"/>
      <c r="N198" s="774"/>
      <c r="O198" s="774"/>
      <c r="P198" s="774"/>
      <c r="Q198" s="774"/>
      <c r="R198" s="774"/>
      <c r="S198" s="774"/>
      <c r="T198" s="774"/>
      <c r="U198" s="774"/>
      <c r="V198" s="774"/>
    </row>
    <row r="199" spans="1:61" hidden="1" outlineLevel="1">
      <c r="A199" s="311"/>
      <c r="B199" s="311"/>
      <c r="C199" s="311"/>
      <c r="D199" s="311"/>
      <c r="E199" s="311"/>
      <c r="F199" s="311"/>
      <c r="G199" s="311"/>
      <c r="H199" s="311"/>
      <c r="I199" s="311"/>
      <c r="J199" s="311"/>
      <c r="K199" s="311"/>
      <c r="L199" s="311"/>
      <c r="M199" s="311"/>
      <c r="N199" s="311"/>
      <c r="O199" s="311"/>
      <c r="P199" s="311"/>
      <c r="Q199" s="311"/>
    </row>
    <row r="200" spans="1:61" hidden="1" outlineLevel="1">
      <c r="A200" s="311" t="s">
        <v>33</v>
      </c>
      <c r="B200" s="137">
        <f>B201/(B202*B203)</f>
        <v>0.27777777777777779</v>
      </c>
      <c r="C200" s="311"/>
      <c r="D200" s="311"/>
      <c r="E200" s="311"/>
      <c r="F200" s="311"/>
      <c r="G200" s="311"/>
      <c r="H200" s="311"/>
      <c r="I200" s="311"/>
      <c r="J200" s="311"/>
      <c r="K200" s="311"/>
      <c r="L200" s="311"/>
      <c r="M200" s="311"/>
      <c r="N200" s="311"/>
      <c r="O200" s="311"/>
      <c r="P200" s="311"/>
      <c r="Q200" s="311"/>
    </row>
    <row r="201" spans="1:61" hidden="1" outlineLevel="1">
      <c r="A201" s="311"/>
      <c r="B201" s="87">
        <f>10^6</f>
        <v>1000000</v>
      </c>
      <c r="C201" s="311"/>
      <c r="D201" s="311"/>
      <c r="E201" s="311"/>
      <c r="F201" s="311"/>
      <c r="G201" s="311"/>
      <c r="H201" s="311"/>
      <c r="I201" s="311"/>
      <c r="J201" s="311"/>
      <c r="K201" s="311"/>
      <c r="L201" s="311"/>
      <c r="M201" s="311"/>
      <c r="N201" s="311"/>
      <c r="O201" s="311"/>
      <c r="P201" s="311" t="s">
        <v>45</v>
      </c>
      <c r="Q201" s="311"/>
    </row>
    <row r="202" spans="1:61" hidden="1" outlineLevel="1">
      <c r="A202" s="311"/>
      <c r="B202" s="87">
        <f>10^3</f>
        <v>1000</v>
      </c>
      <c r="C202" s="311"/>
      <c r="D202" s="311"/>
      <c r="E202" s="311"/>
      <c r="F202" s="311"/>
      <c r="G202" s="311"/>
      <c r="H202" s="311"/>
      <c r="I202" s="311"/>
      <c r="J202" s="311"/>
      <c r="K202" s="311"/>
      <c r="L202" s="311"/>
      <c r="M202" s="311"/>
      <c r="N202" s="311"/>
      <c r="O202" s="311"/>
      <c r="P202" s="311" t="s">
        <v>46</v>
      </c>
      <c r="Q202" s="311"/>
    </row>
    <row r="203" spans="1:61" hidden="1" outlineLevel="1">
      <c r="A203" s="311"/>
      <c r="B203" s="87">
        <f>(60*60)</f>
        <v>3600</v>
      </c>
      <c r="C203" s="311"/>
      <c r="D203" s="311"/>
      <c r="E203" s="311"/>
      <c r="F203" s="311"/>
      <c r="G203" s="311"/>
      <c r="H203" s="311"/>
      <c r="I203" s="311"/>
      <c r="J203" s="311"/>
      <c r="K203" s="311"/>
      <c r="L203" s="311"/>
      <c r="M203" s="311"/>
      <c r="N203" s="311"/>
      <c r="O203" s="311"/>
      <c r="P203" s="311" t="s">
        <v>47</v>
      </c>
      <c r="Q203" s="311"/>
    </row>
    <row r="204" spans="1:61" collapsed="1"/>
    <row r="205" spans="1:61" s="592" customFormat="1" ht="18">
      <c r="A205" s="1" t="s">
        <v>504</v>
      </c>
    </row>
    <row r="206" spans="1:61" s="592" customFormat="1">
      <c r="A206" s="588"/>
      <c r="B206" s="589"/>
      <c r="C206" s="589"/>
      <c r="D206" s="589"/>
      <c r="E206" s="589"/>
      <c r="F206" s="589"/>
      <c r="G206" s="589"/>
      <c r="H206" s="589"/>
      <c r="I206" s="589"/>
      <c r="J206" s="589"/>
      <c r="K206" s="589"/>
      <c r="L206" s="589"/>
      <c r="M206" s="589"/>
      <c r="N206" s="589"/>
      <c r="O206" s="589"/>
      <c r="P206" s="588"/>
      <c r="Q206" s="588"/>
      <c r="R206" s="588"/>
      <c r="S206" s="588">
        <v>2019</v>
      </c>
      <c r="T206" s="588">
        <f>S206+1</f>
        <v>2020</v>
      </c>
      <c r="U206" s="588">
        <f t="shared" ref="U206" si="88">T206+1</f>
        <v>2021</v>
      </c>
      <c r="V206" s="588">
        <f t="shared" ref="V206" si="89">U206+1</f>
        <v>2022</v>
      </c>
      <c r="W206" s="588">
        <f t="shared" ref="W206" si="90">V206+1</f>
        <v>2023</v>
      </c>
      <c r="X206" s="588">
        <f t="shared" ref="X206" si="91">W206+1</f>
        <v>2024</v>
      </c>
      <c r="Y206" s="588">
        <f t="shared" ref="Y206" si="92">X206+1</f>
        <v>2025</v>
      </c>
      <c r="Z206" s="588">
        <f t="shared" ref="Z206" si="93">Y206+1</f>
        <v>2026</v>
      </c>
      <c r="AA206" s="588">
        <f t="shared" ref="AA206" si="94">Z206+1</f>
        <v>2027</v>
      </c>
      <c r="AB206" s="588">
        <f t="shared" ref="AB206" si="95">AA206+1</f>
        <v>2028</v>
      </c>
      <c r="AC206" s="588">
        <f t="shared" ref="AC206" si="96">AB206+1</f>
        <v>2029</v>
      </c>
      <c r="AD206" s="588">
        <f t="shared" ref="AD206" si="97">AC206+1</f>
        <v>2030</v>
      </c>
      <c r="AE206" s="588">
        <f t="shared" ref="AE206" si="98">AD206+1</f>
        <v>2031</v>
      </c>
      <c r="AF206" s="588">
        <f t="shared" ref="AF206" si="99">AE206+1</f>
        <v>2032</v>
      </c>
      <c r="AG206" s="588">
        <f t="shared" ref="AG206" si="100">AF206+1</f>
        <v>2033</v>
      </c>
      <c r="AH206" s="588">
        <f t="shared" ref="AH206" si="101">AG206+1</f>
        <v>2034</v>
      </c>
      <c r="AI206" s="588">
        <f t="shared" ref="AI206" si="102">AH206+1</f>
        <v>2035</v>
      </c>
      <c r="AJ206" s="588">
        <f t="shared" ref="AJ206" si="103">AI206+1</f>
        <v>2036</v>
      </c>
      <c r="AK206" s="588">
        <f t="shared" ref="AK206" si="104">AJ206+1</f>
        <v>2037</v>
      </c>
      <c r="AL206" s="588">
        <f t="shared" ref="AL206" si="105">AK206+1</f>
        <v>2038</v>
      </c>
      <c r="AM206" s="588">
        <f t="shared" ref="AM206" si="106">AL206+1</f>
        <v>2039</v>
      </c>
      <c r="AN206" s="588">
        <f t="shared" ref="AN206" si="107">AM206+1</f>
        <v>2040</v>
      </c>
      <c r="AO206" s="588">
        <f t="shared" ref="AO206" si="108">AN206+1</f>
        <v>2041</v>
      </c>
      <c r="AP206" s="588">
        <f t="shared" ref="AP206" si="109">AO206+1</f>
        <v>2042</v>
      </c>
      <c r="AQ206" s="588">
        <f t="shared" ref="AQ206" si="110">AP206+1</f>
        <v>2043</v>
      </c>
      <c r="AR206" s="588">
        <f t="shared" ref="AR206" si="111">AQ206+1</f>
        <v>2044</v>
      </c>
      <c r="AS206" s="588">
        <f t="shared" ref="AS206" si="112">AR206+1</f>
        <v>2045</v>
      </c>
      <c r="AT206" s="588">
        <f t="shared" ref="AT206" si="113">AS206+1</f>
        <v>2046</v>
      </c>
      <c r="AU206" s="588">
        <f t="shared" ref="AU206" si="114">AT206+1</f>
        <v>2047</v>
      </c>
      <c r="AV206" s="588">
        <f t="shared" ref="AV206" si="115">AU206+1</f>
        <v>2048</v>
      </c>
      <c r="AW206" s="588">
        <f t="shared" ref="AW206" si="116">AV206+1</f>
        <v>2049</v>
      </c>
      <c r="AX206" s="588">
        <f t="shared" ref="AX206" si="117">AW206+1</f>
        <v>2050</v>
      </c>
      <c r="AY206" s="588">
        <f t="shared" ref="AY206" si="118">AX206+1</f>
        <v>2051</v>
      </c>
      <c r="AZ206" s="588">
        <f t="shared" ref="AZ206" si="119">AY206+1</f>
        <v>2052</v>
      </c>
      <c r="BA206" s="588">
        <f t="shared" ref="BA206" si="120">AZ206+1</f>
        <v>2053</v>
      </c>
      <c r="BB206" s="588">
        <f t="shared" ref="BB206" si="121">BA206+1</f>
        <v>2054</v>
      </c>
      <c r="BC206" s="588">
        <f t="shared" ref="BC206" si="122">BB206+1</f>
        <v>2055</v>
      </c>
      <c r="BD206" s="588">
        <f t="shared" ref="BD206" si="123">BC206+1</f>
        <v>2056</v>
      </c>
      <c r="BE206" s="588">
        <f t="shared" ref="BE206" si="124">BD206+1</f>
        <v>2057</v>
      </c>
      <c r="BF206" s="588">
        <f t="shared" ref="BF206" si="125">BE206+1</f>
        <v>2058</v>
      </c>
      <c r="BG206" s="588">
        <f t="shared" ref="BG206" si="126">BF206+1</f>
        <v>2059</v>
      </c>
      <c r="BH206" s="588">
        <f t="shared" ref="BH206" si="127">BG206+1</f>
        <v>2060</v>
      </c>
      <c r="BI206" s="588">
        <f t="shared" ref="BI206" si="128">BH206+1</f>
        <v>2061</v>
      </c>
    </row>
    <row r="207" spans="1:61" s="592" customFormat="1" ht="33">
      <c r="A207" s="643" t="s">
        <v>503</v>
      </c>
      <c r="B207" s="514"/>
      <c r="C207" s="514"/>
      <c r="D207" s="514"/>
      <c r="E207" s="514"/>
      <c r="F207" s="514"/>
      <c r="G207" s="514"/>
      <c r="H207" s="514"/>
      <c r="I207" s="514"/>
      <c r="J207" s="514"/>
      <c r="K207" s="514"/>
      <c r="L207" s="514"/>
      <c r="M207" s="514"/>
      <c r="N207" s="514"/>
      <c r="O207" s="514"/>
      <c r="P207" s="514"/>
      <c r="Q207" s="514"/>
      <c r="R207" s="514"/>
      <c r="S207" s="623"/>
      <c r="T207" s="514">
        <f>T$179</f>
        <v>-6.1947363569606874E-2</v>
      </c>
      <c r="U207" s="514">
        <f t="shared" ref="U207:BI207" si="129">U$179</f>
        <v>-8.5681872878200505E-3</v>
      </c>
      <c r="V207" s="514">
        <f t="shared" si="129"/>
        <v>-8.6422355808623407E-3</v>
      </c>
      <c r="W207" s="514">
        <f t="shared" si="129"/>
        <v>-8.7175749169887736E-3</v>
      </c>
      <c r="X207" s="514">
        <f t="shared" si="129"/>
        <v>-8.7942393574250589E-3</v>
      </c>
      <c r="Y207" s="514">
        <f t="shared" si="129"/>
        <v>-8.872264172198021E-3</v>
      </c>
      <c r="Z207" s="514">
        <f t="shared" si="129"/>
        <v>-2.0607773001147616E-2</v>
      </c>
      <c r="AA207" s="514">
        <f t="shared" si="129"/>
        <v>-2.1041389172850523E-2</v>
      </c>
      <c r="AB207" s="514">
        <f t="shared" si="129"/>
        <v>-2.1493645328960399E-2</v>
      </c>
      <c r="AC207" s="514">
        <f t="shared" si="129"/>
        <v>-2.1965769794296604E-2</v>
      </c>
      <c r="AD207" s="514">
        <f t="shared" si="129"/>
        <v>-2.2459101241964586E-2</v>
      </c>
      <c r="AE207" s="514">
        <f t="shared" si="129"/>
        <v>-4.5816742840723797E-2</v>
      </c>
      <c r="AF207" s="514">
        <f t="shared" si="129"/>
        <v>-4.8016712195439286E-2</v>
      </c>
      <c r="AG207" s="514">
        <f t="shared" si="129"/>
        <v>-5.0438608335419619E-2</v>
      </c>
      <c r="AH207" s="514">
        <f t="shared" si="129"/>
        <v>-5.3117796045815187E-2</v>
      </c>
      <c r="AI207" s="514">
        <f t="shared" si="129"/>
        <v>-5.6097575626614264E-2</v>
      </c>
      <c r="AJ207" s="514">
        <f t="shared" si="129"/>
        <v>-3.2745145353334636E-2</v>
      </c>
      <c r="AK207" s="514">
        <f t="shared" si="129"/>
        <v>-3.3853689331232478E-2</v>
      </c>
      <c r="AL207" s="514">
        <f t="shared" si="129"/>
        <v>-3.5039919893498236E-2</v>
      </c>
      <c r="AM207" s="514">
        <f t="shared" si="129"/>
        <v>-3.6312299975798913E-2</v>
      </c>
      <c r="AN207" s="514">
        <f t="shared" si="129"/>
        <v>-3.7680568066695112E-2</v>
      </c>
      <c r="AO207" s="514">
        <f t="shared" si="129"/>
        <v>0</v>
      </c>
      <c r="AP207" s="514">
        <f t="shared" si="129"/>
        <v>0</v>
      </c>
      <c r="AQ207" s="514">
        <f t="shared" si="129"/>
        <v>0</v>
      </c>
      <c r="AR207" s="514">
        <f t="shared" si="129"/>
        <v>0</v>
      </c>
      <c r="AS207" s="514">
        <f t="shared" si="129"/>
        <v>0</v>
      </c>
      <c r="AT207" s="514">
        <f t="shared" si="129"/>
        <v>0</v>
      </c>
      <c r="AU207" s="514">
        <f t="shared" si="129"/>
        <v>0</v>
      </c>
      <c r="AV207" s="514">
        <f t="shared" si="129"/>
        <v>0</v>
      </c>
      <c r="AW207" s="514">
        <f t="shared" si="129"/>
        <v>0</v>
      </c>
      <c r="AX207" s="514">
        <f t="shared" si="129"/>
        <v>0</v>
      </c>
      <c r="AY207" s="514">
        <f t="shared" si="129"/>
        <v>0</v>
      </c>
      <c r="AZ207" s="514">
        <f t="shared" si="129"/>
        <v>0</v>
      </c>
      <c r="BA207" s="514">
        <f t="shared" si="129"/>
        <v>0</v>
      </c>
      <c r="BB207" s="514">
        <f t="shared" si="129"/>
        <v>0</v>
      </c>
      <c r="BC207" s="514">
        <f t="shared" si="129"/>
        <v>0</v>
      </c>
      <c r="BD207" s="514">
        <f t="shared" si="129"/>
        <v>0</v>
      </c>
      <c r="BE207" s="514">
        <f t="shared" si="129"/>
        <v>0</v>
      </c>
      <c r="BF207" s="514">
        <f t="shared" si="129"/>
        <v>0</v>
      </c>
      <c r="BG207" s="514">
        <f t="shared" si="129"/>
        <v>0</v>
      </c>
      <c r="BH207" s="514">
        <f t="shared" si="129"/>
        <v>0</v>
      </c>
      <c r="BI207" s="514">
        <f t="shared" si="129"/>
        <v>0</v>
      </c>
    </row>
    <row r="208" spans="1:61" s="592" customFormat="1" ht="48">
      <c r="A208" s="643" t="s">
        <v>502</v>
      </c>
      <c r="B208" s="514"/>
      <c r="C208" s="514"/>
      <c r="D208" s="514"/>
      <c r="E208" s="514"/>
      <c r="F208" s="514"/>
      <c r="G208" s="514"/>
      <c r="H208" s="514"/>
      <c r="I208" s="514"/>
      <c r="J208" s="514"/>
      <c r="K208" s="514"/>
      <c r="L208" s="514"/>
      <c r="M208" s="514"/>
      <c r="N208" s="514"/>
      <c r="O208" s="514"/>
      <c r="P208" s="514"/>
      <c r="Q208" s="514"/>
      <c r="R208" s="514"/>
      <c r="S208" s="514">
        <f>S$180</f>
        <v>0</v>
      </c>
      <c r="T208" s="514">
        <f t="shared" ref="T208:BI208" si="130">T$180</f>
        <v>-6.1947363569606874E-2</v>
      </c>
      <c r="U208" s="514">
        <f t="shared" si="130"/>
        <v>-6.9984774244375852E-2</v>
      </c>
      <c r="V208" s="514">
        <f t="shared" si="130"/>
        <v>-7.8022184919144838E-2</v>
      </c>
      <c r="W208" s="514">
        <f t="shared" si="130"/>
        <v>-8.605959559391381E-2</v>
      </c>
      <c r="X208" s="514">
        <f t="shared" si="130"/>
        <v>-9.4097006268682781E-2</v>
      </c>
      <c r="Y208" s="514">
        <f t="shared" si="130"/>
        <v>-0.10213441694345209</v>
      </c>
      <c r="Z208" s="514">
        <f t="shared" si="130"/>
        <v>-0.12063742706462446</v>
      </c>
      <c r="AA208" s="514">
        <f t="shared" si="130"/>
        <v>-0.13914043718579686</v>
      </c>
      <c r="AB208" s="514">
        <f t="shared" si="130"/>
        <v>-0.15764344730696925</v>
      </c>
      <c r="AC208" s="514">
        <f t="shared" si="130"/>
        <v>-0.17614645742814164</v>
      </c>
      <c r="AD208" s="514">
        <f t="shared" si="130"/>
        <v>-0.1946494675493142</v>
      </c>
      <c r="AE208" s="514">
        <f t="shared" si="130"/>
        <v>-0.23154800579124724</v>
      </c>
      <c r="AF208" s="514">
        <f t="shared" si="130"/>
        <v>-0.2684465440331803</v>
      </c>
      <c r="AG208" s="514">
        <f t="shared" si="130"/>
        <v>-0.30534508227511337</v>
      </c>
      <c r="AH208" s="514">
        <f t="shared" si="130"/>
        <v>-0.34224362051704643</v>
      </c>
      <c r="AI208" s="514">
        <f t="shared" si="130"/>
        <v>-0.37914215875897939</v>
      </c>
      <c r="AJ208" s="514">
        <f t="shared" si="130"/>
        <v>-0.39947223901417417</v>
      </c>
      <c r="AK208" s="514">
        <f t="shared" si="130"/>
        <v>-0.41980231926936895</v>
      </c>
      <c r="AL208" s="514">
        <f t="shared" si="130"/>
        <v>-0.44013239952456373</v>
      </c>
      <c r="AM208" s="514">
        <f t="shared" si="130"/>
        <v>-0.46046247977975852</v>
      </c>
      <c r="AN208" s="514">
        <f t="shared" si="130"/>
        <v>-0.48079256003495319</v>
      </c>
      <c r="AO208" s="514">
        <f t="shared" si="130"/>
        <v>-0.48079256003495319</v>
      </c>
      <c r="AP208" s="514">
        <f t="shared" si="130"/>
        <v>-0.48079256003495319</v>
      </c>
      <c r="AQ208" s="514">
        <f t="shared" si="130"/>
        <v>-0.48079256003495319</v>
      </c>
      <c r="AR208" s="514">
        <f t="shared" si="130"/>
        <v>-0.48079256003495319</v>
      </c>
      <c r="AS208" s="514">
        <f t="shared" si="130"/>
        <v>-0.48079256003495319</v>
      </c>
      <c r="AT208" s="514">
        <f t="shared" si="130"/>
        <v>-0.48079256003495319</v>
      </c>
      <c r="AU208" s="514">
        <f t="shared" si="130"/>
        <v>-0.48079256003495319</v>
      </c>
      <c r="AV208" s="514">
        <f t="shared" si="130"/>
        <v>-0.48079256003495319</v>
      </c>
      <c r="AW208" s="514">
        <f t="shared" si="130"/>
        <v>-0.48079256003495319</v>
      </c>
      <c r="AX208" s="514">
        <f t="shared" si="130"/>
        <v>-0.48079256003495319</v>
      </c>
      <c r="AY208" s="514">
        <f t="shared" si="130"/>
        <v>-0.48079256003495319</v>
      </c>
      <c r="AZ208" s="514">
        <f t="shared" si="130"/>
        <v>-0.48079256003495319</v>
      </c>
      <c r="BA208" s="514">
        <f t="shared" si="130"/>
        <v>-0.48079256003495319</v>
      </c>
      <c r="BB208" s="514">
        <f t="shared" si="130"/>
        <v>-0.48079256003495319</v>
      </c>
      <c r="BC208" s="514">
        <f t="shared" si="130"/>
        <v>-0.48079256003495319</v>
      </c>
      <c r="BD208" s="514">
        <f t="shared" si="130"/>
        <v>-0.48079256003495319</v>
      </c>
      <c r="BE208" s="514">
        <f t="shared" si="130"/>
        <v>-0.48079256003495319</v>
      </c>
      <c r="BF208" s="514">
        <f t="shared" si="130"/>
        <v>-0.48079256003495319</v>
      </c>
      <c r="BG208" s="514">
        <f t="shared" si="130"/>
        <v>-0.48079256003495319</v>
      </c>
      <c r="BH208" s="514">
        <f t="shared" si="130"/>
        <v>-0.48079256003495319</v>
      </c>
      <c r="BI208" s="514">
        <f t="shared" si="130"/>
        <v>-0.48079256003495319</v>
      </c>
    </row>
    <row r="209" spans="1:61" s="592" customFormat="1"/>
    <row r="210" spans="1:61" ht="18">
      <c r="A210" s="1" t="s">
        <v>63</v>
      </c>
      <c r="B210" s="311"/>
      <c r="C210" s="311"/>
      <c r="D210" s="311"/>
      <c r="E210" s="311"/>
      <c r="F210" s="311"/>
      <c r="G210" s="311"/>
      <c r="H210" s="311"/>
      <c r="I210" s="311"/>
      <c r="J210" s="311"/>
      <c r="K210" s="311"/>
      <c r="L210" s="311"/>
      <c r="M210" s="311"/>
      <c r="N210" s="311"/>
      <c r="O210" s="311"/>
      <c r="P210" s="311"/>
      <c r="Q210" s="311"/>
    </row>
    <row r="211" spans="1:61" s="592" customFormat="1">
      <c r="A211" s="774" t="s">
        <v>667</v>
      </c>
      <c r="B211" s="774"/>
      <c r="C211" s="774"/>
      <c r="D211" s="774"/>
      <c r="E211" s="774"/>
      <c r="F211" s="774"/>
      <c r="G211" s="774"/>
      <c r="H211" s="774"/>
      <c r="I211" s="774"/>
      <c r="J211" s="774"/>
      <c r="K211" s="774"/>
      <c r="L211" s="774"/>
      <c r="M211" s="774"/>
      <c r="N211" s="774"/>
      <c r="O211" s="774"/>
      <c r="P211" s="774"/>
      <c r="Q211" s="774"/>
      <c r="R211" s="774"/>
      <c r="S211" s="774"/>
      <c r="T211" s="774"/>
      <c r="U211" s="774"/>
      <c r="V211" s="774"/>
    </row>
    <row r="212" spans="1:61" s="592" customFormat="1">
      <c r="A212" s="774"/>
      <c r="B212" s="774"/>
      <c r="C212" s="774"/>
      <c r="D212" s="774"/>
      <c r="E212" s="774"/>
      <c r="F212" s="774"/>
      <c r="G212" s="774"/>
      <c r="H212" s="774"/>
      <c r="I212" s="774"/>
      <c r="J212" s="774"/>
      <c r="K212" s="774"/>
      <c r="L212" s="774"/>
      <c r="M212" s="774"/>
      <c r="N212" s="774"/>
      <c r="O212" s="774"/>
      <c r="P212" s="774"/>
      <c r="Q212" s="774"/>
      <c r="R212" s="774"/>
      <c r="S212" s="774"/>
      <c r="T212" s="774"/>
      <c r="U212" s="774"/>
      <c r="V212" s="774"/>
    </row>
    <row r="213" spans="1:61" s="586" customFormat="1" ht="30" customHeight="1">
      <c r="A213" s="823" t="s">
        <v>662</v>
      </c>
      <c r="B213" s="590"/>
      <c r="C213" s="590"/>
      <c r="D213" s="590"/>
      <c r="E213" s="590"/>
      <c r="F213" s="590"/>
      <c r="G213" s="590"/>
      <c r="H213" s="590"/>
      <c r="I213" s="590"/>
      <c r="J213" s="590"/>
      <c r="K213" s="590"/>
      <c r="L213" s="590"/>
      <c r="M213" s="590"/>
      <c r="N213" s="590"/>
      <c r="O213" s="590"/>
      <c r="P213" s="823" t="s">
        <v>49</v>
      </c>
      <c r="Q213" s="825"/>
      <c r="R213" s="590"/>
      <c r="S213" s="590" t="s">
        <v>668</v>
      </c>
      <c r="T213" s="590"/>
      <c r="U213" s="590"/>
      <c r="V213" s="590"/>
      <c r="W213" s="590"/>
      <c r="X213" s="590"/>
      <c r="Y213" s="590"/>
      <c r="Z213" s="590"/>
      <c r="AA213" s="590"/>
      <c r="AB213" s="590"/>
      <c r="AC213" s="590"/>
      <c r="AD213" s="590"/>
      <c r="AE213" s="590"/>
      <c r="AF213" s="590"/>
      <c r="AG213" s="590"/>
      <c r="AH213" s="590"/>
      <c r="AI213" s="590"/>
      <c r="AJ213" s="590"/>
      <c r="AK213" s="590"/>
      <c r="AL213" s="590"/>
      <c r="AM213" s="590"/>
      <c r="AN213" s="590"/>
      <c r="AO213" s="590"/>
      <c r="AP213" s="590"/>
      <c r="AQ213" s="590"/>
      <c r="AR213" s="590"/>
      <c r="AS213" s="590"/>
      <c r="AT213" s="590"/>
      <c r="AU213" s="590"/>
      <c r="AV213" s="590"/>
      <c r="AW213" s="590"/>
      <c r="AX213" s="590"/>
      <c r="AY213" s="590"/>
      <c r="AZ213" s="590"/>
      <c r="BA213" s="590"/>
      <c r="BB213" s="590"/>
      <c r="BC213" s="590"/>
      <c r="BD213" s="590"/>
      <c r="BE213" s="590"/>
      <c r="BF213" s="590"/>
      <c r="BG213" s="590"/>
      <c r="BH213" s="590"/>
      <c r="BI213" s="590"/>
    </row>
    <row r="214" spans="1:61" ht="30" customHeight="1" thickBot="1">
      <c r="A214" s="824"/>
      <c r="B214" s="583"/>
      <c r="C214" s="583"/>
      <c r="D214" s="583"/>
      <c r="E214" s="583"/>
      <c r="F214" s="583"/>
      <c r="G214" s="583"/>
      <c r="H214" s="583"/>
      <c r="I214" s="583"/>
      <c r="J214" s="583"/>
      <c r="K214" s="583"/>
      <c r="L214" s="583"/>
      <c r="M214" s="583"/>
      <c r="N214" s="583"/>
      <c r="O214" s="583"/>
      <c r="P214" s="824"/>
      <c r="Q214" s="826"/>
      <c r="R214" s="314"/>
      <c r="S214" s="583">
        <v>2019</v>
      </c>
      <c r="T214" s="583">
        <f>S214+1</f>
        <v>2020</v>
      </c>
      <c r="U214" s="583">
        <f t="shared" ref="U214" si="131">T214+1</f>
        <v>2021</v>
      </c>
      <c r="V214" s="583">
        <f t="shared" ref="V214" si="132">U214+1</f>
        <v>2022</v>
      </c>
      <c r="W214" s="583">
        <f t="shared" ref="W214" si="133">V214+1</f>
        <v>2023</v>
      </c>
      <c r="X214" s="583">
        <f t="shared" ref="X214" si="134">W214+1</f>
        <v>2024</v>
      </c>
      <c r="Y214" s="583">
        <f t="shared" ref="Y214" si="135">X214+1</f>
        <v>2025</v>
      </c>
      <c r="Z214" s="583">
        <f t="shared" ref="Z214" si="136">Y214+1</f>
        <v>2026</v>
      </c>
      <c r="AA214" s="583">
        <f t="shared" ref="AA214" si="137">Z214+1</f>
        <v>2027</v>
      </c>
      <c r="AB214" s="583">
        <f t="shared" ref="AB214" si="138">AA214+1</f>
        <v>2028</v>
      </c>
      <c r="AC214" s="583">
        <f t="shared" ref="AC214" si="139">AB214+1</f>
        <v>2029</v>
      </c>
      <c r="AD214" s="583">
        <f t="shared" ref="AD214" si="140">AC214+1</f>
        <v>2030</v>
      </c>
      <c r="AE214" s="583">
        <f t="shared" ref="AE214" si="141">AD214+1</f>
        <v>2031</v>
      </c>
      <c r="AF214" s="583">
        <f t="shared" ref="AF214" si="142">AE214+1</f>
        <v>2032</v>
      </c>
      <c r="AG214" s="583">
        <f t="shared" ref="AG214" si="143">AF214+1</f>
        <v>2033</v>
      </c>
      <c r="AH214" s="583">
        <f t="shared" ref="AH214" si="144">AG214+1</f>
        <v>2034</v>
      </c>
      <c r="AI214" s="583">
        <f t="shared" ref="AI214" si="145">AH214+1</f>
        <v>2035</v>
      </c>
      <c r="AJ214" s="583">
        <f t="shared" ref="AJ214" si="146">AI214+1</f>
        <v>2036</v>
      </c>
      <c r="AK214" s="583">
        <f t="shared" ref="AK214" si="147">AJ214+1</f>
        <v>2037</v>
      </c>
      <c r="AL214" s="583">
        <f t="shared" ref="AL214" si="148">AK214+1</f>
        <v>2038</v>
      </c>
      <c r="AM214" s="583">
        <f t="shared" ref="AM214" si="149">AL214+1</f>
        <v>2039</v>
      </c>
      <c r="AN214" s="583">
        <f t="shared" ref="AN214" si="150">AM214+1</f>
        <v>2040</v>
      </c>
      <c r="AO214" s="583">
        <f t="shared" ref="AO214" si="151">AN214+1</f>
        <v>2041</v>
      </c>
      <c r="AP214" s="583">
        <f t="shared" ref="AP214" si="152">AO214+1</f>
        <v>2042</v>
      </c>
      <c r="AQ214" s="583">
        <f t="shared" ref="AQ214" si="153">AP214+1</f>
        <v>2043</v>
      </c>
      <c r="AR214" s="583">
        <f t="shared" ref="AR214" si="154">AQ214+1</f>
        <v>2044</v>
      </c>
      <c r="AS214" s="583">
        <f t="shared" ref="AS214" si="155">AR214+1</f>
        <v>2045</v>
      </c>
      <c r="AT214" s="583">
        <f t="shared" ref="AT214" si="156">AS214+1</f>
        <v>2046</v>
      </c>
      <c r="AU214" s="583">
        <f t="shared" ref="AU214" si="157">AT214+1</f>
        <v>2047</v>
      </c>
      <c r="AV214" s="583">
        <f t="shared" ref="AV214" si="158">AU214+1</f>
        <v>2048</v>
      </c>
      <c r="AW214" s="583">
        <f t="shared" ref="AW214" si="159">AV214+1</f>
        <v>2049</v>
      </c>
      <c r="AX214" s="583">
        <f t="shared" ref="AX214" si="160">AW214+1</f>
        <v>2050</v>
      </c>
      <c r="AY214" s="583">
        <f t="shared" ref="AY214" si="161">AX214+1</f>
        <v>2051</v>
      </c>
      <c r="AZ214" s="583">
        <f t="shared" ref="AZ214" si="162">AY214+1</f>
        <v>2052</v>
      </c>
      <c r="BA214" s="583">
        <f t="shared" ref="BA214" si="163">AZ214+1</f>
        <v>2053</v>
      </c>
      <c r="BB214" s="583">
        <f t="shared" ref="BB214" si="164">BA214+1</f>
        <v>2054</v>
      </c>
      <c r="BC214" s="583">
        <f t="shared" ref="BC214" si="165">BB214+1</f>
        <v>2055</v>
      </c>
      <c r="BD214" s="583">
        <f t="shared" ref="BD214" si="166">BC214+1</f>
        <v>2056</v>
      </c>
      <c r="BE214" s="583">
        <f t="shared" ref="BE214" si="167">BD214+1</f>
        <v>2057</v>
      </c>
      <c r="BF214" s="583">
        <f t="shared" ref="BF214" si="168">BE214+1</f>
        <v>2058</v>
      </c>
      <c r="BG214" s="583">
        <f t="shared" ref="BG214" si="169">BF214+1</f>
        <v>2059</v>
      </c>
      <c r="BH214" s="583">
        <f t="shared" ref="BH214" si="170">BG214+1</f>
        <v>2060</v>
      </c>
      <c r="BI214" s="583">
        <f t="shared" ref="BI214" si="171">BH214+1</f>
        <v>2061</v>
      </c>
    </row>
    <row r="215" spans="1:61" ht="30">
      <c r="A215" s="309" t="s">
        <v>50</v>
      </c>
      <c r="B215" s="309" t="s">
        <v>51</v>
      </c>
      <c r="C215" s="311"/>
      <c r="D215" s="311"/>
      <c r="E215" s="311"/>
      <c r="F215" s="311"/>
      <c r="G215" s="311"/>
      <c r="H215" s="311"/>
      <c r="I215" s="311"/>
      <c r="J215" s="311"/>
      <c r="K215" s="311"/>
      <c r="L215" s="311"/>
      <c r="M215" s="311"/>
      <c r="N215" s="311"/>
      <c r="O215" s="311"/>
      <c r="P215" s="128">
        <f t="shared" ref="P215:P220" si="172">P189*$B$200</f>
        <v>0.50277777777777777</v>
      </c>
      <c r="Q215" s="115"/>
      <c r="R215" s="115"/>
      <c r="S215" s="115">
        <f t="shared" ref="S215:S220" si="173">$Q189+$P215*S$178</f>
        <v>489.49722222222221</v>
      </c>
      <c r="T215" s="115">
        <f t="shared" ref="T215:BI215" si="174">$Q189+$P215*T$178</f>
        <v>467.10342236781923</v>
      </c>
      <c r="U215" s="115">
        <f t="shared" si="174"/>
        <v>464.197920735031</v>
      </c>
      <c r="V215" s="115">
        <f t="shared" si="174"/>
        <v>461.29241910224277</v>
      </c>
      <c r="W215" s="115">
        <f t="shared" si="174"/>
        <v>458.3869174694546</v>
      </c>
      <c r="X215" s="115">
        <f t="shared" si="174"/>
        <v>455.48141583666637</v>
      </c>
      <c r="Y215" s="115">
        <f t="shared" si="174"/>
        <v>452.57591420387803</v>
      </c>
      <c r="Z215" s="115">
        <f t="shared" si="174"/>
        <v>445.88712744232453</v>
      </c>
      <c r="AA215" s="115">
        <f t="shared" si="174"/>
        <v>439.19834068077108</v>
      </c>
      <c r="AB215" s="115">
        <f t="shared" si="174"/>
        <v>432.50955391921758</v>
      </c>
      <c r="AC215" s="115">
        <f t="shared" si="174"/>
        <v>425.82076715766408</v>
      </c>
      <c r="AD215" s="115">
        <f t="shared" si="174"/>
        <v>419.13198039611058</v>
      </c>
      <c r="AE215" s="115">
        <f t="shared" si="174"/>
        <v>405.79326131759132</v>
      </c>
      <c r="AF215" s="115">
        <f t="shared" si="174"/>
        <v>392.45454223907205</v>
      </c>
      <c r="AG215" s="115">
        <f t="shared" si="174"/>
        <v>379.11582316055285</v>
      </c>
      <c r="AH215" s="115">
        <f t="shared" si="174"/>
        <v>365.77710408203359</v>
      </c>
      <c r="AI215" s="115">
        <f t="shared" si="174"/>
        <v>352.43838500351438</v>
      </c>
      <c r="AJ215" s="115">
        <f t="shared" si="174"/>
        <v>345.08911746370666</v>
      </c>
      <c r="AK215" s="115">
        <f t="shared" si="174"/>
        <v>337.73984992389887</v>
      </c>
      <c r="AL215" s="115">
        <f t="shared" si="174"/>
        <v>330.39058238409109</v>
      </c>
      <c r="AM215" s="115">
        <f t="shared" si="174"/>
        <v>323.04131484428331</v>
      </c>
      <c r="AN215" s="115">
        <f t="shared" si="174"/>
        <v>315.69204730447564</v>
      </c>
      <c r="AO215" s="115">
        <f t="shared" si="174"/>
        <v>315.69204730447564</v>
      </c>
      <c r="AP215" s="115">
        <f t="shared" si="174"/>
        <v>315.69204730447564</v>
      </c>
      <c r="AQ215" s="115">
        <f t="shared" si="174"/>
        <v>315.69204730447564</v>
      </c>
      <c r="AR215" s="115">
        <f t="shared" si="174"/>
        <v>315.69204730447564</v>
      </c>
      <c r="AS215" s="115">
        <f t="shared" si="174"/>
        <v>315.69204730447564</v>
      </c>
      <c r="AT215" s="115">
        <f t="shared" si="174"/>
        <v>315.69204730447564</v>
      </c>
      <c r="AU215" s="115">
        <f t="shared" si="174"/>
        <v>315.69204730447564</v>
      </c>
      <c r="AV215" s="115">
        <f t="shared" si="174"/>
        <v>315.69204730447564</v>
      </c>
      <c r="AW215" s="115">
        <f t="shared" si="174"/>
        <v>315.69204730447564</v>
      </c>
      <c r="AX215" s="115">
        <f t="shared" si="174"/>
        <v>315.69204730447564</v>
      </c>
      <c r="AY215" s="115">
        <f t="shared" si="174"/>
        <v>315.69204730447564</v>
      </c>
      <c r="AZ215" s="115">
        <f t="shared" si="174"/>
        <v>315.69204730447564</v>
      </c>
      <c r="BA215" s="115">
        <f t="shared" si="174"/>
        <v>315.69204730447564</v>
      </c>
      <c r="BB215" s="115">
        <f t="shared" si="174"/>
        <v>315.69204730447564</v>
      </c>
      <c r="BC215" s="115">
        <f t="shared" si="174"/>
        <v>315.69204730447564</v>
      </c>
      <c r="BD215" s="115">
        <f t="shared" si="174"/>
        <v>315.69204730447564</v>
      </c>
      <c r="BE215" s="115">
        <f t="shared" si="174"/>
        <v>315.69204730447564</v>
      </c>
      <c r="BF215" s="115">
        <f t="shared" si="174"/>
        <v>315.69204730447564</v>
      </c>
      <c r="BG215" s="115">
        <f t="shared" si="174"/>
        <v>315.69204730447564</v>
      </c>
      <c r="BH215" s="115">
        <f t="shared" si="174"/>
        <v>315.69204730447564</v>
      </c>
      <c r="BI215" s="115">
        <f t="shared" si="174"/>
        <v>315.69204730447564</v>
      </c>
    </row>
    <row r="216" spans="1:61" ht="30">
      <c r="A216" s="309" t="str">
        <f>A215</f>
        <v>Samochód osobowy, hybrydowy benzyna +elektryczny</v>
      </c>
      <c r="B216" s="309" t="s">
        <v>52</v>
      </c>
      <c r="C216" s="311"/>
      <c r="D216" s="311"/>
      <c r="E216" s="311"/>
      <c r="F216" s="311"/>
      <c r="G216" s="311"/>
      <c r="H216" s="311"/>
      <c r="I216" s="311"/>
      <c r="J216" s="311"/>
      <c r="K216" s="311"/>
      <c r="L216" s="311"/>
      <c r="M216" s="311"/>
      <c r="N216" s="311"/>
      <c r="O216" s="311"/>
      <c r="P216" s="128">
        <f t="shared" si="172"/>
        <v>0.65833333333333344</v>
      </c>
      <c r="Q216" s="115"/>
      <c r="R216" s="115"/>
      <c r="S216" s="115">
        <f t="shared" si="173"/>
        <v>641.3416666666667</v>
      </c>
      <c r="T216" s="115">
        <f t="shared" ref="T216:BI216" si="175">$Q190+$P216*T$178</f>
        <v>612.01939834902305</v>
      </c>
      <c r="U216" s="115">
        <f t="shared" si="175"/>
        <v>608.21495698454351</v>
      </c>
      <c r="V216" s="115">
        <f t="shared" si="175"/>
        <v>604.41051562006385</v>
      </c>
      <c r="W216" s="115">
        <f t="shared" si="175"/>
        <v>600.60607425558419</v>
      </c>
      <c r="X216" s="115">
        <f t="shared" si="175"/>
        <v>596.80163289110465</v>
      </c>
      <c r="Y216" s="115">
        <f t="shared" si="175"/>
        <v>592.99719152662487</v>
      </c>
      <c r="Z216" s="115">
        <f t="shared" si="175"/>
        <v>584.23894587751897</v>
      </c>
      <c r="AA216" s="115">
        <f t="shared" si="175"/>
        <v>575.48070022841307</v>
      </c>
      <c r="AB216" s="115">
        <f t="shared" si="175"/>
        <v>566.72245457930705</v>
      </c>
      <c r="AC216" s="115">
        <f t="shared" si="175"/>
        <v>557.96420893020104</v>
      </c>
      <c r="AD216" s="115">
        <f t="shared" si="175"/>
        <v>549.20596328109514</v>
      </c>
      <c r="AE216" s="115">
        <f t="shared" si="175"/>
        <v>531.7403476920947</v>
      </c>
      <c r="AF216" s="115">
        <f t="shared" si="175"/>
        <v>514.27473210309449</v>
      </c>
      <c r="AG216" s="115">
        <f t="shared" si="175"/>
        <v>496.80911651409411</v>
      </c>
      <c r="AH216" s="115">
        <f t="shared" si="175"/>
        <v>479.34350092509379</v>
      </c>
      <c r="AI216" s="115">
        <f t="shared" si="175"/>
        <v>461.87788533609347</v>
      </c>
      <c r="AJ216" s="115">
        <f t="shared" si="175"/>
        <v>452.25481126463251</v>
      </c>
      <c r="AK216" s="115">
        <f t="shared" si="175"/>
        <v>442.63173719317149</v>
      </c>
      <c r="AL216" s="115">
        <f t="shared" si="175"/>
        <v>433.00866312171053</v>
      </c>
      <c r="AM216" s="115">
        <f t="shared" si="175"/>
        <v>423.38558905024951</v>
      </c>
      <c r="AN216" s="115">
        <f t="shared" si="175"/>
        <v>413.76251497878854</v>
      </c>
      <c r="AO216" s="115">
        <f t="shared" si="175"/>
        <v>413.76251497878854</v>
      </c>
      <c r="AP216" s="115">
        <f t="shared" si="175"/>
        <v>413.76251497878854</v>
      </c>
      <c r="AQ216" s="115">
        <f t="shared" si="175"/>
        <v>413.76251497878854</v>
      </c>
      <c r="AR216" s="115">
        <f t="shared" si="175"/>
        <v>413.76251497878854</v>
      </c>
      <c r="AS216" s="115">
        <f t="shared" si="175"/>
        <v>413.76251497878854</v>
      </c>
      <c r="AT216" s="115">
        <f t="shared" si="175"/>
        <v>413.76251497878854</v>
      </c>
      <c r="AU216" s="115">
        <f t="shared" si="175"/>
        <v>413.76251497878854</v>
      </c>
      <c r="AV216" s="115">
        <f t="shared" si="175"/>
        <v>413.76251497878854</v>
      </c>
      <c r="AW216" s="115">
        <f t="shared" si="175"/>
        <v>413.76251497878854</v>
      </c>
      <c r="AX216" s="115">
        <f t="shared" si="175"/>
        <v>413.76251497878854</v>
      </c>
      <c r="AY216" s="115">
        <f t="shared" si="175"/>
        <v>413.76251497878854</v>
      </c>
      <c r="AZ216" s="115">
        <f t="shared" si="175"/>
        <v>413.76251497878854</v>
      </c>
      <c r="BA216" s="115">
        <f t="shared" si="175"/>
        <v>413.76251497878854</v>
      </c>
      <c r="BB216" s="115">
        <f t="shared" si="175"/>
        <v>413.76251497878854</v>
      </c>
      <c r="BC216" s="115">
        <f t="shared" si="175"/>
        <v>413.76251497878854</v>
      </c>
      <c r="BD216" s="115">
        <f t="shared" si="175"/>
        <v>413.76251497878854</v>
      </c>
      <c r="BE216" s="115">
        <f t="shared" si="175"/>
        <v>413.76251497878854</v>
      </c>
      <c r="BF216" s="115">
        <f t="shared" si="175"/>
        <v>413.76251497878854</v>
      </c>
      <c r="BG216" s="115">
        <f t="shared" si="175"/>
        <v>413.76251497878854</v>
      </c>
      <c r="BH216" s="115">
        <f t="shared" si="175"/>
        <v>413.76251497878854</v>
      </c>
      <c r="BI216" s="115">
        <f t="shared" si="175"/>
        <v>413.76251497878854</v>
      </c>
    </row>
    <row r="217" spans="1:61" ht="30">
      <c r="A217" s="309" t="s">
        <v>53</v>
      </c>
      <c r="B217" s="309" t="s">
        <v>51</v>
      </c>
      <c r="C217" s="311"/>
      <c r="D217" s="311"/>
      <c r="E217" s="311"/>
      <c r="F217" s="311"/>
      <c r="G217" s="311"/>
      <c r="H217" s="311"/>
      <c r="I217" s="311"/>
      <c r="J217" s="311"/>
      <c r="K217" s="311"/>
      <c r="L217" s="311"/>
      <c r="M217" s="311"/>
      <c r="N217" s="311"/>
      <c r="O217" s="311"/>
      <c r="P217" s="128">
        <f t="shared" si="172"/>
        <v>0.23333333333333334</v>
      </c>
      <c r="Q217" s="115"/>
      <c r="R217" s="115"/>
      <c r="S217" s="115">
        <f t="shared" si="173"/>
        <v>167.76666666666668</v>
      </c>
      <c r="T217" s="115">
        <f t="shared" ref="T217:BI217" si="176">$Q191+$P217*T$178</f>
        <v>157.37396397180561</v>
      </c>
      <c r="U217" s="115">
        <f t="shared" si="176"/>
        <v>156.02555437426855</v>
      </c>
      <c r="V217" s="115">
        <f t="shared" si="176"/>
        <v>154.67714477673147</v>
      </c>
      <c r="W217" s="115">
        <f t="shared" si="176"/>
        <v>153.32873517919438</v>
      </c>
      <c r="X217" s="115">
        <f t="shared" si="176"/>
        <v>151.98032558165733</v>
      </c>
      <c r="Y217" s="115">
        <f t="shared" si="176"/>
        <v>150.63191598412018</v>
      </c>
      <c r="Z217" s="115">
        <f t="shared" si="176"/>
        <v>147.5277276527915</v>
      </c>
      <c r="AA217" s="115">
        <f t="shared" si="176"/>
        <v>144.42353932146281</v>
      </c>
      <c r="AB217" s="115">
        <f t="shared" si="176"/>
        <v>141.31935099013413</v>
      </c>
      <c r="AC217" s="115">
        <f t="shared" si="176"/>
        <v>138.21516265880544</v>
      </c>
      <c r="AD217" s="115">
        <f t="shared" si="176"/>
        <v>135.11097432747673</v>
      </c>
      <c r="AE217" s="115">
        <f t="shared" si="176"/>
        <v>128.92062956175508</v>
      </c>
      <c r="AF217" s="115">
        <f t="shared" si="176"/>
        <v>122.73028479603346</v>
      </c>
      <c r="AG217" s="115">
        <f t="shared" si="176"/>
        <v>116.53994003031181</v>
      </c>
      <c r="AH217" s="115">
        <f t="shared" si="176"/>
        <v>110.34959526459018</v>
      </c>
      <c r="AI217" s="115">
        <f t="shared" si="176"/>
        <v>104.15925049886856</v>
      </c>
      <c r="AJ217" s="115">
        <f t="shared" si="176"/>
        <v>100.74854070138872</v>
      </c>
      <c r="AK217" s="115">
        <f t="shared" si="176"/>
        <v>97.337830903908866</v>
      </c>
      <c r="AL217" s="115">
        <f t="shared" si="176"/>
        <v>93.927121106429027</v>
      </c>
      <c r="AM217" s="115">
        <f t="shared" si="176"/>
        <v>90.516411308949188</v>
      </c>
      <c r="AN217" s="115">
        <f t="shared" si="176"/>
        <v>87.105701511469348</v>
      </c>
      <c r="AO217" s="115">
        <f t="shared" si="176"/>
        <v>87.105701511469348</v>
      </c>
      <c r="AP217" s="115">
        <f t="shared" si="176"/>
        <v>87.105701511469348</v>
      </c>
      <c r="AQ217" s="115">
        <f t="shared" si="176"/>
        <v>87.105701511469348</v>
      </c>
      <c r="AR217" s="115">
        <f t="shared" si="176"/>
        <v>87.105701511469348</v>
      </c>
      <c r="AS217" s="115">
        <f t="shared" si="176"/>
        <v>87.105701511469348</v>
      </c>
      <c r="AT217" s="115">
        <f t="shared" si="176"/>
        <v>87.105701511469348</v>
      </c>
      <c r="AU217" s="115">
        <f t="shared" si="176"/>
        <v>87.105701511469348</v>
      </c>
      <c r="AV217" s="115">
        <f t="shared" si="176"/>
        <v>87.105701511469348</v>
      </c>
      <c r="AW217" s="115">
        <f t="shared" si="176"/>
        <v>87.105701511469348</v>
      </c>
      <c r="AX217" s="115">
        <f t="shared" si="176"/>
        <v>87.105701511469348</v>
      </c>
      <c r="AY217" s="115">
        <f t="shared" si="176"/>
        <v>87.105701511469348</v>
      </c>
      <c r="AZ217" s="115">
        <f t="shared" si="176"/>
        <v>87.105701511469348</v>
      </c>
      <c r="BA217" s="115">
        <f t="shared" si="176"/>
        <v>87.105701511469348</v>
      </c>
      <c r="BB217" s="115">
        <f t="shared" si="176"/>
        <v>87.105701511469348</v>
      </c>
      <c r="BC217" s="115">
        <f t="shared" si="176"/>
        <v>87.105701511469348</v>
      </c>
      <c r="BD217" s="115">
        <f t="shared" si="176"/>
        <v>87.105701511469348</v>
      </c>
      <c r="BE217" s="115">
        <f t="shared" si="176"/>
        <v>87.105701511469348</v>
      </c>
      <c r="BF217" s="115">
        <f t="shared" si="176"/>
        <v>87.105701511469348</v>
      </c>
      <c r="BG217" s="115">
        <f t="shared" si="176"/>
        <v>87.105701511469348</v>
      </c>
      <c r="BH217" s="115">
        <f t="shared" si="176"/>
        <v>87.105701511469348</v>
      </c>
      <c r="BI217" s="115">
        <f t="shared" si="176"/>
        <v>87.105701511469348</v>
      </c>
    </row>
    <row r="218" spans="1:61" ht="30">
      <c r="A218" s="309" t="s">
        <v>53</v>
      </c>
      <c r="B218" s="309" t="s">
        <v>52</v>
      </c>
      <c r="C218" s="311"/>
      <c r="D218" s="311"/>
      <c r="E218" s="311"/>
      <c r="F218" s="311"/>
      <c r="G218" s="311"/>
      <c r="H218" s="311"/>
      <c r="I218" s="311"/>
      <c r="J218" s="311"/>
      <c r="K218" s="311"/>
      <c r="L218" s="311"/>
      <c r="M218" s="311"/>
      <c r="N218" s="311"/>
      <c r="O218" s="311"/>
      <c r="P218" s="128">
        <f t="shared" si="172"/>
        <v>0.20277777777777778</v>
      </c>
      <c r="Q218" s="115"/>
      <c r="R218" s="115"/>
      <c r="S218" s="115">
        <f t="shared" si="173"/>
        <v>145.79722222222222</v>
      </c>
      <c r="T218" s="115">
        <f t="shared" ref="T218:BI218" si="177">$Q192+$P218*T$178</f>
        <v>136.76546868978346</v>
      </c>
      <c r="U218" s="115">
        <f t="shared" si="177"/>
        <v>135.5936365395429</v>
      </c>
      <c r="V218" s="115">
        <f t="shared" si="177"/>
        <v>134.42180438930234</v>
      </c>
      <c r="W218" s="115">
        <f t="shared" si="177"/>
        <v>133.2499722390618</v>
      </c>
      <c r="X218" s="115">
        <f t="shared" si="177"/>
        <v>132.07814008882124</v>
      </c>
      <c r="Y218" s="115">
        <f t="shared" si="177"/>
        <v>130.90630793858065</v>
      </c>
      <c r="Z218" s="115">
        <f t="shared" si="177"/>
        <v>128.20862046016404</v>
      </c>
      <c r="AA218" s="115">
        <f t="shared" si="177"/>
        <v>125.51093298174744</v>
      </c>
      <c r="AB218" s="115">
        <f t="shared" si="177"/>
        <v>122.81324550333085</v>
      </c>
      <c r="AC218" s="115">
        <f t="shared" si="177"/>
        <v>120.11555802491425</v>
      </c>
      <c r="AD218" s="115">
        <f t="shared" si="177"/>
        <v>117.41787054649762</v>
      </c>
      <c r="AE218" s="115">
        <f t="shared" si="177"/>
        <v>112.03816616676335</v>
      </c>
      <c r="AF218" s="115">
        <f t="shared" si="177"/>
        <v>106.65846178702907</v>
      </c>
      <c r="AG218" s="115">
        <f t="shared" si="177"/>
        <v>101.27875740729479</v>
      </c>
      <c r="AH218" s="115">
        <f t="shared" si="177"/>
        <v>95.899053027560512</v>
      </c>
      <c r="AI218" s="115">
        <f t="shared" si="177"/>
        <v>90.519348647826249</v>
      </c>
      <c r="AJ218" s="115">
        <f t="shared" si="177"/>
        <v>87.555279419064007</v>
      </c>
      <c r="AK218" s="115">
        <f t="shared" si="177"/>
        <v>84.591210190301751</v>
      </c>
      <c r="AL218" s="115">
        <f t="shared" si="177"/>
        <v>81.62714096153951</v>
      </c>
      <c r="AM218" s="115">
        <f t="shared" si="177"/>
        <v>78.663071732777269</v>
      </c>
      <c r="AN218" s="115">
        <f t="shared" si="177"/>
        <v>75.699002504015027</v>
      </c>
      <c r="AO218" s="115">
        <f t="shared" si="177"/>
        <v>75.699002504015027</v>
      </c>
      <c r="AP218" s="115">
        <f t="shared" si="177"/>
        <v>75.699002504015027</v>
      </c>
      <c r="AQ218" s="115">
        <f t="shared" si="177"/>
        <v>75.699002504015027</v>
      </c>
      <c r="AR218" s="115">
        <f t="shared" si="177"/>
        <v>75.699002504015027</v>
      </c>
      <c r="AS218" s="115">
        <f t="shared" si="177"/>
        <v>75.699002504015027</v>
      </c>
      <c r="AT218" s="115">
        <f t="shared" si="177"/>
        <v>75.699002504015027</v>
      </c>
      <c r="AU218" s="115">
        <f t="shared" si="177"/>
        <v>75.699002504015027</v>
      </c>
      <c r="AV218" s="115">
        <f t="shared" si="177"/>
        <v>75.699002504015027</v>
      </c>
      <c r="AW218" s="115">
        <f t="shared" si="177"/>
        <v>75.699002504015027</v>
      </c>
      <c r="AX218" s="115">
        <f t="shared" si="177"/>
        <v>75.699002504015027</v>
      </c>
      <c r="AY218" s="115">
        <f t="shared" si="177"/>
        <v>75.699002504015027</v>
      </c>
      <c r="AZ218" s="115">
        <f t="shared" si="177"/>
        <v>75.699002504015027</v>
      </c>
      <c r="BA218" s="115">
        <f t="shared" si="177"/>
        <v>75.699002504015027</v>
      </c>
      <c r="BB218" s="115">
        <f t="shared" si="177"/>
        <v>75.699002504015027</v>
      </c>
      <c r="BC218" s="115">
        <f t="shared" si="177"/>
        <v>75.699002504015027</v>
      </c>
      <c r="BD218" s="115">
        <f t="shared" si="177"/>
        <v>75.699002504015027</v>
      </c>
      <c r="BE218" s="115">
        <f t="shared" si="177"/>
        <v>75.699002504015027</v>
      </c>
      <c r="BF218" s="115">
        <f t="shared" si="177"/>
        <v>75.699002504015027</v>
      </c>
      <c r="BG218" s="115">
        <f t="shared" si="177"/>
        <v>75.699002504015027</v>
      </c>
      <c r="BH218" s="115">
        <f t="shared" si="177"/>
        <v>75.699002504015027</v>
      </c>
      <c r="BI218" s="115">
        <f t="shared" si="177"/>
        <v>75.699002504015027</v>
      </c>
    </row>
    <row r="219" spans="1:61" ht="45">
      <c r="A219" s="309" t="s">
        <v>54</v>
      </c>
      <c r="B219" s="309" t="s">
        <v>51</v>
      </c>
      <c r="C219" s="311"/>
      <c r="D219" s="311"/>
      <c r="E219" s="311"/>
      <c r="F219" s="311"/>
      <c r="G219" s="311"/>
      <c r="H219" s="311"/>
      <c r="I219" s="311"/>
      <c r="J219" s="311"/>
      <c r="K219" s="311"/>
      <c r="L219" s="311"/>
      <c r="M219" s="311"/>
      <c r="N219" s="311"/>
      <c r="O219" s="311"/>
      <c r="P219" s="128">
        <f t="shared" si="172"/>
        <v>3.1722222222222225</v>
      </c>
      <c r="Q219" s="115"/>
      <c r="R219" s="115"/>
      <c r="S219" s="115">
        <f t="shared" si="173"/>
        <v>3089.827777777778</v>
      </c>
      <c r="T219" s="115">
        <f t="shared" ref="T219:BI219" si="178">$Q193+$P219*T$178</f>
        <v>2948.5365101881193</v>
      </c>
      <c r="U219" s="115">
        <f t="shared" si="178"/>
        <v>2930.2045606596989</v>
      </c>
      <c r="V219" s="115">
        <f t="shared" si="178"/>
        <v>2911.8726111312781</v>
      </c>
      <c r="W219" s="115">
        <f t="shared" si="178"/>
        <v>2893.5406616028572</v>
      </c>
      <c r="X219" s="115">
        <f t="shared" si="178"/>
        <v>2875.2087120744368</v>
      </c>
      <c r="Y219" s="115">
        <f t="shared" si="178"/>
        <v>2856.876762546015</v>
      </c>
      <c r="Z219" s="115">
        <f t="shared" si="178"/>
        <v>2814.6745830891418</v>
      </c>
      <c r="AA219" s="115">
        <f t="shared" si="178"/>
        <v>2772.4724036322687</v>
      </c>
      <c r="AB219" s="115">
        <f t="shared" si="178"/>
        <v>2730.270224175395</v>
      </c>
      <c r="AC219" s="115">
        <f t="shared" si="178"/>
        <v>2688.0680447185214</v>
      </c>
      <c r="AD219" s="115">
        <f t="shared" si="178"/>
        <v>2645.8658652616477</v>
      </c>
      <c r="AE219" s="115">
        <f t="shared" si="178"/>
        <v>2561.7066542800512</v>
      </c>
      <c r="AF219" s="115">
        <f t="shared" si="178"/>
        <v>2477.5474432984547</v>
      </c>
      <c r="AG219" s="115">
        <f t="shared" si="178"/>
        <v>2393.3882323168582</v>
      </c>
      <c r="AH219" s="115">
        <f t="shared" si="178"/>
        <v>2309.2290213352617</v>
      </c>
      <c r="AI219" s="115">
        <f t="shared" si="178"/>
        <v>2225.0698103536652</v>
      </c>
      <c r="AJ219" s="115">
        <f t="shared" si="178"/>
        <v>2178.7003985831657</v>
      </c>
      <c r="AK219" s="115">
        <f t="shared" si="178"/>
        <v>2132.3309868126662</v>
      </c>
      <c r="AL219" s="115">
        <f t="shared" si="178"/>
        <v>2085.9615750421663</v>
      </c>
      <c r="AM219" s="115">
        <f t="shared" si="178"/>
        <v>2039.5921632716663</v>
      </c>
      <c r="AN219" s="115">
        <f t="shared" si="178"/>
        <v>1993.2227515011668</v>
      </c>
      <c r="AO219" s="115">
        <f t="shared" si="178"/>
        <v>1993.2227515011668</v>
      </c>
      <c r="AP219" s="115">
        <f t="shared" si="178"/>
        <v>1993.2227515011668</v>
      </c>
      <c r="AQ219" s="115">
        <f t="shared" si="178"/>
        <v>1993.2227515011668</v>
      </c>
      <c r="AR219" s="115">
        <f t="shared" si="178"/>
        <v>1993.2227515011668</v>
      </c>
      <c r="AS219" s="115">
        <f t="shared" si="178"/>
        <v>1993.2227515011668</v>
      </c>
      <c r="AT219" s="115">
        <f t="shared" si="178"/>
        <v>1993.2227515011668</v>
      </c>
      <c r="AU219" s="115">
        <f t="shared" si="178"/>
        <v>1993.2227515011668</v>
      </c>
      <c r="AV219" s="115">
        <f t="shared" si="178"/>
        <v>1993.2227515011668</v>
      </c>
      <c r="AW219" s="115">
        <f t="shared" si="178"/>
        <v>1993.2227515011668</v>
      </c>
      <c r="AX219" s="115">
        <f t="shared" si="178"/>
        <v>1993.2227515011668</v>
      </c>
      <c r="AY219" s="115">
        <f t="shared" si="178"/>
        <v>1993.2227515011668</v>
      </c>
      <c r="AZ219" s="115">
        <f t="shared" si="178"/>
        <v>1993.2227515011668</v>
      </c>
      <c r="BA219" s="115">
        <f t="shared" si="178"/>
        <v>1993.2227515011668</v>
      </c>
      <c r="BB219" s="115">
        <f t="shared" si="178"/>
        <v>1993.2227515011668</v>
      </c>
      <c r="BC219" s="115">
        <f t="shared" si="178"/>
        <v>1993.2227515011668</v>
      </c>
      <c r="BD219" s="115">
        <f t="shared" si="178"/>
        <v>1993.2227515011668</v>
      </c>
      <c r="BE219" s="115">
        <f t="shared" si="178"/>
        <v>1993.2227515011668</v>
      </c>
      <c r="BF219" s="115">
        <f t="shared" si="178"/>
        <v>1993.2227515011668</v>
      </c>
      <c r="BG219" s="115">
        <f t="shared" si="178"/>
        <v>1993.2227515011668</v>
      </c>
      <c r="BH219" s="115">
        <f t="shared" si="178"/>
        <v>1993.2227515011668</v>
      </c>
      <c r="BI219" s="115">
        <f t="shared" si="178"/>
        <v>1993.2227515011668</v>
      </c>
    </row>
    <row r="220" spans="1:61" ht="30">
      <c r="A220" s="310" t="s">
        <v>55</v>
      </c>
      <c r="B220" s="310" t="s">
        <v>51</v>
      </c>
      <c r="C220" s="312"/>
      <c r="D220" s="312"/>
      <c r="E220" s="312"/>
      <c r="F220" s="312"/>
      <c r="G220" s="312"/>
      <c r="H220" s="312"/>
      <c r="I220" s="312"/>
      <c r="J220" s="312"/>
      <c r="K220" s="312"/>
      <c r="L220" s="312"/>
      <c r="M220" s="312"/>
      <c r="N220" s="312"/>
      <c r="O220" s="312"/>
      <c r="P220" s="129">
        <f t="shared" si="172"/>
        <v>2.1750000000000003</v>
      </c>
      <c r="Q220" s="122"/>
      <c r="R220" s="122"/>
      <c r="S220" s="122">
        <f t="shared" si="173"/>
        <v>1563.8250000000003</v>
      </c>
      <c r="T220" s="122">
        <f t="shared" ref="T220:BI220" si="179">$Q194+$P220*T$178</f>
        <v>1466.9501641657598</v>
      </c>
      <c r="U220" s="122">
        <f t="shared" si="179"/>
        <v>1454.3810604172891</v>
      </c>
      <c r="V220" s="122">
        <f t="shared" si="179"/>
        <v>1441.8119566688185</v>
      </c>
      <c r="W220" s="122">
        <f t="shared" si="179"/>
        <v>1429.242852920348</v>
      </c>
      <c r="X220" s="122">
        <f t="shared" si="179"/>
        <v>1416.6737491718773</v>
      </c>
      <c r="Y220" s="122">
        <f t="shared" si="179"/>
        <v>1404.1046454234063</v>
      </c>
      <c r="Z220" s="122">
        <f t="shared" si="179"/>
        <v>1375.1691756206637</v>
      </c>
      <c r="AA220" s="122">
        <f t="shared" si="179"/>
        <v>1346.2337058179214</v>
      </c>
      <c r="AB220" s="122">
        <f t="shared" si="179"/>
        <v>1317.2982360151789</v>
      </c>
      <c r="AC220" s="122">
        <f t="shared" si="179"/>
        <v>1288.3627662124366</v>
      </c>
      <c r="AD220" s="122">
        <f t="shared" si="179"/>
        <v>1259.427296409694</v>
      </c>
      <c r="AE220" s="122">
        <f t="shared" si="179"/>
        <v>1201.724439843503</v>
      </c>
      <c r="AF220" s="122">
        <f t="shared" si="179"/>
        <v>1144.0215832773119</v>
      </c>
      <c r="AG220" s="122">
        <f t="shared" si="179"/>
        <v>1086.3187267111209</v>
      </c>
      <c r="AH220" s="122">
        <f t="shared" si="179"/>
        <v>1028.6158701449301</v>
      </c>
      <c r="AI220" s="122">
        <f t="shared" si="179"/>
        <v>970.9130135787392</v>
      </c>
      <c r="AJ220" s="122">
        <f t="shared" si="179"/>
        <v>939.12032582365919</v>
      </c>
      <c r="AK220" s="122">
        <f t="shared" si="179"/>
        <v>907.32763806857918</v>
      </c>
      <c r="AL220" s="122">
        <f t="shared" si="179"/>
        <v>875.53495031349928</v>
      </c>
      <c r="AM220" s="122">
        <f t="shared" si="179"/>
        <v>843.74226255841927</v>
      </c>
      <c r="AN220" s="122">
        <f t="shared" si="179"/>
        <v>811.94957480333937</v>
      </c>
      <c r="AO220" s="122">
        <f t="shared" si="179"/>
        <v>811.94957480333937</v>
      </c>
      <c r="AP220" s="122">
        <f t="shared" si="179"/>
        <v>811.94957480333937</v>
      </c>
      <c r="AQ220" s="122">
        <f t="shared" si="179"/>
        <v>811.94957480333937</v>
      </c>
      <c r="AR220" s="122">
        <f t="shared" si="179"/>
        <v>811.94957480333937</v>
      </c>
      <c r="AS220" s="122">
        <f t="shared" si="179"/>
        <v>811.94957480333937</v>
      </c>
      <c r="AT220" s="122">
        <f t="shared" si="179"/>
        <v>811.94957480333937</v>
      </c>
      <c r="AU220" s="122">
        <f t="shared" si="179"/>
        <v>811.94957480333937</v>
      </c>
      <c r="AV220" s="122">
        <f t="shared" si="179"/>
        <v>811.94957480333937</v>
      </c>
      <c r="AW220" s="122">
        <f t="shared" si="179"/>
        <v>811.94957480333937</v>
      </c>
      <c r="AX220" s="122">
        <f t="shared" si="179"/>
        <v>811.94957480333937</v>
      </c>
      <c r="AY220" s="122">
        <f t="shared" si="179"/>
        <v>811.94957480333937</v>
      </c>
      <c r="AZ220" s="122">
        <f t="shared" si="179"/>
        <v>811.94957480333937</v>
      </c>
      <c r="BA220" s="122">
        <f t="shared" si="179"/>
        <v>811.94957480333937</v>
      </c>
      <c r="BB220" s="122">
        <f t="shared" si="179"/>
        <v>811.94957480333937</v>
      </c>
      <c r="BC220" s="122">
        <f t="shared" si="179"/>
        <v>811.94957480333937</v>
      </c>
      <c r="BD220" s="122">
        <f t="shared" si="179"/>
        <v>811.94957480333937</v>
      </c>
      <c r="BE220" s="122">
        <f t="shared" si="179"/>
        <v>811.94957480333937</v>
      </c>
      <c r="BF220" s="122">
        <f t="shared" si="179"/>
        <v>811.94957480333937</v>
      </c>
      <c r="BG220" s="122">
        <f t="shared" si="179"/>
        <v>811.94957480333937</v>
      </c>
      <c r="BH220" s="122">
        <f t="shared" si="179"/>
        <v>811.94957480333937</v>
      </c>
      <c r="BI220" s="122">
        <f t="shared" si="179"/>
        <v>811.94957480333937</v>
      </c>
    </row>
    <row r="221" spans="1:61"/>
    <row r="222" spans="1:61" ht="15.75" thickBot="1">
      <c r="A222" s="187" t="s">
        <v>108</v>
      </c>
      <c r="B222" s="311"/>
      <c r="C222" s="311"/>
      <c r="D222" s="311"/>
      <c r="E222" s="311"/>
      <c r="F222" s="311"/>
      <c r="G222" s="311"/>
      <c r="H222" s="311"/>
      <c r="I222" s="311"/>
      <c r="J222" s="311"/>
      <c r="K222" s="311"/>
      <c r="L222" s="311"/>
      <c r="M222" s="311"/>
      <c r="N222" s="311"/>
      <c r="O222" s="311"/>
      <c r="P222" s="311"/>
      <c r="Q222" s="311"/>
      <c r="R222" s="311"/>
      <c r="S222" s="311"/>
      <c r="T222" s="311"/>
      <c r="U222" s="311"/>
      <c r="V222" s="311"/>
      <c r="W222" s="311"/>
      <c r="X222" s="311"/>
      <c r="Y222" s="311"/>
    </row>
    <row r="223" spans="1:61">
      <c r="A223" s="311"/>
      <c r="B223" s="311"/>
      <c r="C223" s="311"/>
      <c r="D223" s="311"/>
      <c r="E223" s="311"/>
      <c r="F223" s="311"/>
      <c r="G223" s="311"/>
      <c r="H223" s="311"/>
      <c r="I223" s="311"/>
      <c r="J223" s="311"/>
      <c r="K223" s="311"/>
      <c r="L223" s="311"/>
      <c r="M223" s="311"/>
      <c r="N223" s="311"/>
      <c r="O223" s="311"/>
      <c r="P223" s="311"/>
      <c r="Q223" s="311"/>
      <c r="R223" s="311"/>
      <c r="S223" s="105" t="s">
        <v>27</v>
      </c>
      <c r="T223" s="107"/>
      <c r="U223" s="106"/>
      <c r="V223" s="311"/>
      <c r="W223" s="105" t="s">
        <v>28</v>
      </c>
      <c r="X223" s="107"/>
      <c r="Y223" s="106"/>
    </row>
    <row r="224" spans="1:61" ht="30.75" thickBot="1">
      <c r="A224" s="311"/>
      <c r="B224" s="311"/>
      <c r="C224" s="311"/>
      <c r="D224" s="311"/>
      <c r="E224" s="311"/>
      <c r="F224" s="311"/>
      <c r="G224" s="311"/>
      <c r="H224" s="311"/>
      <c r="I224" s="311"/>
      <c r="J224" s="311"/>
      <c r="K224" s="311"/>
      <c r="L224" s="311"/>
      <c r="M224" s="311"/>
      <c r="N224" s="311"/>
      <c r="O224" s="311"/>
      <c r="P224" s="311"/>
      <c r="Q224" s="311"/>
      <c r="R224" s="311"/>
      <c r="S224" s="32" t="s">
        <v>26</v>
      </c>
      <c r="T224" s="33" t="s">
        <v>10</v>
      </c>
      <c r="U224" s="190" t="s">
        <v>107</v>
      </c>
      <c r="V224" s="311"/>
      <c r="W224" s="25" t="s">
        <v>109</v>
      </c>
      <c r="X224" s="20" t="s">
        <v>10</v>
      </c>
      <c r="Y224" s="190" t="s">
        <v>107</v>
      </c>
    </row>
    <row r="225" spans="1:61">
      <c r="A225" s="311"/>
      <c r="B225" s="311"/>
      <c r="C225" s="311"/>
      <c r="D225" s="311"/>
      <c r="E225" s="311"/>
      <c r="F225" s="311"/>
      <c r="G225" s="311"/>
      <c r="H225" s="311"/>
      <c r="I225" s="311"/>
      <c r="J225" s="311"/>
      <c r="K225" s="311"/>
      <c r="L225" s="311"/>
      <c r="M225" s="311"/>
      <c r="N225" s="311"/>
      <c r="O225" s="311"/>
      <c r="P225" s="311"/>
      <c r="Q225" s="311"/>
      <c r="R225" s="311"/>
      <c r="S225" s="26" t="s">
        <v>13</v>
      </c>
      <c r="T225" s="30">
        <f>T74</f>
        <v>1</v>
      </c>
      <c r="U225" s="31">
        <f>U74</f>
        <v>1</v>
      </c>
      <c r="V225" s="311"/>
      <c r="W225" s="26" t="s">
        <v>110</v>
      </c>
      <c r="X225" s="191">
        <v>1</v>
      </c>
      <c r="Y225" s="192">
        <v>1</v>
      </c>
    </row>
    <row r="226" spans="1:61" ht="15.75" thickBot="1">
      <c r="A226" s="311"/>
      <c r="B226" s="311"/>
      <c r="C226" s="311"/>
      <c r="D226" s="311"/>
      <c r="E226" s="311"/>
      <c r="F226" s="311"/>
      <c r="G226" s="311"/>
      <c r="H226" s="311"/>
      <c r="I226" s="311"/>
      <c r="J226" s="311"/>
      <c r="K226" s="311"/>
      <c r="L226" s="311"/>
      <c r="M226" s="311"/>
      <c r="N226" s="311"/>
      <c r="O226" s="311"/>
      <c r="P226" s="311"/>
      <c r="Q226" s="311"/>
      <c r="R226" s="311"/>
      <c r="S226" s="27" t="s">
        <v>12</v>
      </c>
      <c r="T226" s="28">
        <f>T75</f>
        <v>1.1499999999999999</v>
      </c>
      <c r="U226" s="29">
        <f>U75</f>
        <v>1.6966788184975283</v>
      </c>
      <c r="V226" s="311"/>
      <c r="W226" s="193" t="s">
        <v>111</v>
      </c>
      <c r="X226" s="108">
        <f>AVERAGE(AB47,AB53)</f>
        <v>1.1687500000000002</v>
      </c>
      <c r="Y226" s="104">
        <f>AVERAGE(AC47,AC53)</f>
        <v>1.1875</v>
      </c>
    </row>
    <row r="227" spans="1:61">
      <c r="A227" s="311"/>
      <c r="B227" s="311"/>
      <c r="C227" s="311"/>
      <c r="D227" s="311"/>
      <c r="E227" s="311"/>
      <c r="F227" s="311"/>
      <c r="G227" s="311"/>
      <c r="H227" s="311"/>
      <c r="I227" s="311"/>
      <c r="J227" s="311"/>
      <c r="K227" s="311"/>
      <c r="L227" s="311"/>
      <c r="M227" s="311"/>
      <c r="N227" s="311"/>
      <c r="O227" s="311"/>
      <c r="P227" s="311"/>
      <c r="Q227" s="311"/>
      <c r="R227" s="311"/>
      <c r="S227" s="35" t="str">
        <f>$S$76</f>
        <v>Źródło: Obliczenia własne</v>
      </c>
      <c r="T227" s="176"/>
      <c r="U227" s="176"/>
      <c r="V227" s="311"/>
      <c r="W227" s="189" t="str">
        <f>$AA$57</f>
        <v>Źródło: Obliczenia własne na podstawie "Optimisation of Maintenance", OECD/ITF 2012, str. 12</v>
      </c>
      <c r="X227" s="311"/>
      <c r="Y227" s="311"/>
    </row>
    <row r="228" spans="1:61">
      <c r="S228" s="789" t="str">
        <f>$S$77</f>
        <v xml:space="preserve">W obliczeniach mnożników nachylenia podłużnego drogi uwzględniono, że teren falisty zwiększa zużycie paliwa lub energii w pojazdach lekkich o 15%. W przypadku HGV przyjęto dodatkowe założenia dotyczące funkcji zużycia paliwa. </v>
      </c>
      <c r="T228" s="789"/>
      <c r="U228" s="789"/>
      <c r="V228" s="789"/>
      <c r="W228" s="789"/>
      <c r="X228" s="789"/>
      <c r="Y228" s="789"/>
      <c r="Z228" s="789"/>
    </row>
    <row r="229" spans="1:61" s="592" customFormat="1">
      <c r="S229" s="789"/>
      <c r="T229" s="789"/>
      <c r="U229" s="789"/>
      <c r="V229" s="789"/>
      <c r="W229" s="789"/>
      <c r="X229" s="789"/>
      <c r="Y229" s="789"/>
      <c r="Z229" s="789"/>
    </row>
    <row r="230" spans="1:61" s="536" customFormat="1"/>
    <row r="231" spans="1:61">
      <c r="A231" s="822" t="s">
        <v>909</v>
      </c>
      <c r="B231" s="822"/>
      <c r="C231" s="822"/>
      <c r="D231" s="822"/>
      <c r="E231" s="822"/>
      <c r="F231" s="822"/>
      <c r="G231" s="822"/>
      <c r="H231" s="822"/>
      <c r="I231" s="822"/>
      <c r="J231" s="822"/>
      <c r="K231" s="822"/>
      <c r="L231" s="822"/>
      <c r="M231" s="822"/>
      <c r="N231" s="822"/>
      <c r="O231" s="822"/>
      <c r="P231" s="822"/>
      <c r="Q231" s="822"/>
      <c r="R231" s="822"/>
      <c r="S231" s="822"/>
      <c r="T231" s="822"/>
      <c r="U231" s="822"/>
      <c r="V231" s="822"/>
      <c r="W231" s="311"/>
      <c r="X231" s="311"/>
      <c r="Y231" s="311"/>
      <c r="Z231" s="311"/>
      <c r="AA231" s="311"/>
      <c r="AB231" s="311"/>
      <c r="AC231" s="311"/>
      <c r="AD231" s="311"/>
      <c r="AE231" s="311"/>
      <c r="AF231" s="311"/>
      <c r="AG231" s="311"/>
      <c r="AH231" s="311"/>
      <c r="AI231" s="311"/>
      <c r="AJ231" s="311"/>
      <c r="AK231" s="311"/>
      <c r="AL231" s="311"/>
      <c r="AM231" s="311"/>
      <c r="AN231" s="311"/>
      <c r="AO231" s="311"/>
      <c r="AP231" s="311"/>
      <c r="AQ231" s="311"/>
      <c r="AR231" s="311"/>
      <c r="AS231" s="311"/>
      <c r="AT231" s="311"/>
      <c r="AU231" s="311"/>
      <c r="AV231" s="311"/>
      <c r="AW231" s="311"/>
      <c r="AX231" s="311"/>
      <c r="AY231" s="311"/>
      <c r="AZ231" s="311"/>
      <c r="BA231" s="311"/>
      <c r="BB231" s="311"/>
      <c r="BC231" s="311"/>
      <c r="BD231" s="311"/>
      <c r="BE231" s="311"/>
      <c r="BF231" s="311"/>
      <c r="BG231" s="311"/>
      <c r="BH231" s="311"/>
      <c r="BI231" s="311"/>
    </row>
    <row r="232" spans="1:61" s="592" customFormat="1">
      <c r="A232" s="822"/>
      <c r="B232" s="822"/>
      <c r="C232" s="822"/>
      <c r="D232" s="822"/>
      <c r="E232" s="822"/>
      <c r="F232" s="822"/>
      <c r="G232" s="822"/>
      <c r="H232" s="822"/>
      <c r="I232" s="822"/>
      <c r="J232" s="822"/>
      <c r="K232" s="822"/>
      <c r="L232" s="822"/>
      <c r="M232" s="822"/>
      <c r="N232" s="822"/>
      <c r="O232" s="822"/>
      <c r="P232" s="822"/>
      <c r="Q232" s="822"/>
      <c r="R232" s="822"/>
      <c r="S232" s="822"/>
      <c r="T232" s="822"/>
      <c r="U232" s="822"/>
      <c r="V232" s="822"/>
    </row>
    <row r="233" spans="1:61">
      <c r="A233" s="754" t="s">
        <v>619</v>
      </c>
      <c r="B233" s="754"/>
      <c r="C233" s="754"/>
      <c r="D233" s="754"/>
      <c r="E233" s="754"/>
      <c r="F233" s="754"/>
      <c r="G233" s="754"/>
      <c r="H233" s="754"/>
      <c r="I233" s="754"/>
      <c r="J233" s="754"/>
      <c r="K233" s="754"/>
      <c r="L233" s="754"/>
      <c r="M233" s="754"/>
      <c r="N233" s="754"/>
      <c r="O233" s="754"/>
      <c r="P233" s="754"/>
      <c r="Q233" s="754"/>
      <c r="R233" s="754"/>
      <c r="S233" s="754"/>
      <c r="T233" s="754"/>
      <c r="U233" s="754"/>
      <c r="V233" s="754"/>
      <c r="W233" s="311"/>
      <c r="X233" s="311"/>
      <c r="Y233" s="311"/>
      <c r="Z233" s="311"/>
      <c r="AA233" s="311"/>
      <c r="AB233" s="311"/>
      <c r="AC233" s="311"/>
      <c r="AD233" s="311"/>
      <c r="AE233" s="311"/>
      <c r="AF233" s="311"/>
      <c r="AG233" s="311"/>
      <c r="AH233" s="311"/>
      <c r="AI233" s="311"/>
      <c r="AJ233" s="311"/>
      <c r="AK233" s="311"/>
      <c r="AL233" s="311"/>
      <c r="AM233" s="311"/>
      <c r="AN233" s="311"/>
      <c r="AO233" s="311"/>
      <c r="AP233" s="311"/>
      <c r="AQ233" s="311"/>
      <c r="AR233" s="311"/>
      <c r="AS233" s="311"/>
      <c r="AT233" s="311"/>
      <c r="AU233" s="311"/>
      <c r="AV233" s="311"/>
      <c r="AW233" s="311"/>
      <c r="AX233" s="311"/>
      <c r="AY233" s="311"/>
      <c r="AZ233" s="311"/>
      <c r="BA233" s="311"/>
      <c r="BB233" s="311"/>
      <c r="BC233" s="311"/>
      <c r="BD233" s="311"/>
      <c r="BE233" s="311"/>
      <c r="BF233" s="311"/>
      <c r="BG233" s="311"/>
      <c r="BH233" s="311"/>
      <c r="BI233" s="311"/>
    </row>
    <row r="234" spans="1:61" s="592" customFormat="1">
      <c r="A234" s="790"/>
      <c r="B234" s="790"/>
      <c r="C234" s="790"/>
      <c r="D234" s="790"/>
      <c r="E234" s="790"/>
      <c r="F234" s="790"/>
      <c r="G234" s="790"/>
      <c r="H234" s="790"/>
      <c r="I234" s="790"/>
      <c r="J234" s="790"/>
      <c r="K234" s="790"/>
      <c r="L234" s="790"/>
      <c r="M234" s="790"/>
      <c r="N234" s="790"/>
      <c r="O234" s="790"/>
      <c r="P234" s="790"/>
      <c r="Q234" s="790"/>
      <c r="R234" s="790"/>
      <c r="S234" s="790"/>
      <c r="T234" s="790"/>
      <c r="U234" s="790"/>
      <c r="V234" s="790"/>
    </row>
    <row r="235" spans="1:61" s="515" customFormat="1">
      <c r="A235" s="757" t="s">
        <v>868</v>
      </c>
      <c r="B235" s="663" t="s">
        <v>309</v>
      </c>
      <c r="C235" s="649"/>
      <c r="D235" s="649"/>
      <c r="E235" s="649"/>
      <c r="F235" s="649"/>
      <c r="G235" s="649"/>
      <c r="H235" s="649"/>
      <c r="I235" s="649"/>
      <c r="J235" s="649"/>
      <c r="K235" s="649"/>
      <c r="L235" s="649"/>
      <c r="M235" s="649"/>
      <c r="N235" s="649"/>
      <c r="O235" s="649"/>
      <c r="P235" s="652"/>
      <c r="Q235" s="6"/>
      <c r="R235" s="6"/>
      <c r="S235" s="6"/>
      <c r="T235" s="6">
        <v>2020</v>
      </c>
      <c r="U235" s="6">
        <f>T235+1</f>
        <v>2021</v>
      </c>
      <c r="V235" s="6">
        <f t="shared" ref="V235:BI235" si="180">U235+1</f>
        <v>2022</v>
      </c>
      <c r="W235" s="6">
        <f t="shared" si="180"/>
        <v>2023</v>
      </c>
      <c r="X235" s="6">
        <f t="shared" si="180"/>
        <v>2024</v>
      </c>
      <c r="Y235" s="6">
        <f t="shared" si="180"/>
        <v>2025</v>
      </c>
      <c r="Z235" s="6">
        <f t="shared" si="180"/>
        <v>2026</v>
      </c>
      <c r="AA235" s="6">
        <f t="shared" si="180"/>
        <v>2027</v>
      </c>
      <c r="AB235" s="6">
        <f t="shared" si="180"/>
        <v>2028</v>
      </c>
      <c r="AC235" s="6">
        <f t="shared" si="180"/>
        <v>2029</v>
      </c>
      <c r="AD235" s="6">
        <f t="shared" si="180"/>
        <v>2030</v>
      </c>
      <c r="AE235" s="6">
        <f t="shared" si="180"/>
        <v>2031</v>
      </c>
      <c r="AF235" s="6">
        <f t="shared" si="180"/>
        <v>2032</v>
      </c>
      <c r="AG235" s="6">
        <f t="shared" si="180"/>
        <v>2033</v>
      </c>
      <c r="AH235" s="6">
        <f t="shared" si="180"/>
        <v>2034</v>
      </c>
      <c r="AI235" s="6">
        <f t="shared" si="180"/>
        <v>2035</v>
      </c>
      <c r="AJ235" s="6">
        <f t="shared" si="180"/>
        <v>2036</v>
      </c>
      <c r="AK235" s="6">
        <f t="shared" si="180"/>
        <v>2037</v>
      </c>
      <c r="AL235" s="6">
        <f t="shared" si="180"/>
        <v>2038</v>
      </c>
      <c r="AM235" s="6">
        <f t="shared" si="180"/>
        <v>2039</v>
      </c>
      <c r="AN235" s="6">
        <f t="shared" si="180"/>
        <v>2040</v>
      </c>
      <c r="AO235" s="6">
        <f t="shared" si="180"/>
        <v>2041</v>
      </c>
      <c r="AP235" s="6">
        <f t="shared" si="180"/>
        <v>2042</v>
      </c>
      <c r="AQ235" s="6">
        <f t="shared" si="180"/>
        <v>2043</v>
      </c>
      <c r="AR235" s="6">
        <f t="shared" si="180"/>
        <v>2044</v>
      </c>
      <c r="AS235" s="6">
        <f t="shared" si="180"/>
        <v>2045</v>
      </c>
      <c r="AT235" s="6">
        <f t="shared" si="180"/>
        <v>2046</v>
      </c>
      <c r="AU235" s="6">
        <f t="shared" si="180"/>
        <v>2047</v>
      </c>
      <c r="AV235" s="6">
        <f t="shared" si="180"/>
        <v>2048</v>
      </c>
      <c r="AW235" s="6">
        <f t="shared" si="180"/>
        <v>2049</v>
      </c>
      <c r="AX235" s="6">
        <f t="shared" si="180"/>
        <v>2050</v>
      </c>
      <c r="AY235" s="6">
        <f t="shared" si="180"/>
        <v>2051</v>
      </c>
      <c r="AZ235" s="6">
        <f t="shared" si="180"/>
        <v>2052</v>
      </c>
      <c r="BA235" s="6">
        <f t="shared" si="180"/>
        <v>2053</v>
      </c>
      <c r="BB235" s="6">
        <f t="shared" si="180"/>
        <v>2054</v>
      </c>
      <c r="BC235" s="6">
        <f t="shared" si="180"/>
        <v>2055</v>
      </c>
      <c r="BD235" s="6">
        <f t="shared" si="180"/>
        <v>2056</v>
      </c>
      <c r="BE235" s="6">
        <f t="shared" si="180"/>
        <v>2057</v>
      </c>
      <c r="BF235" s="6">
        <f t="shared" si="180"/>
        <v>2058</v>
      </c>
      <c r="BG235" s="6">
        <f t="shared" si="180"/>
        <v>2059</v>
      </c>
      <c r="BH235" s="6">
        <f t="shared" si="180"/>
        <v>2060</v>
      </c>
      <c r="BI235" s="6">
        <f t="shared" si="180"/>
        <v>2061</v>
      </c>
    </row>
    <row r="236" spans="1:61">
      <c r="A236" s="758"/>
      <c r="B236" s="664" t="s">
        <v>510</v>
      </c>
      <c r="C236" s="659"/>
      <c r="D236" s="659"/>
      <c r="E236" s="659"/>
      <c r="F236" s="659"/>
      <c r="G236" s="659"/>
      <c r="H236" s="659"/>
      <c r="I236" s="659"/>
      <c r="J236" s="659"/>
      <c r="K236" s="659"/>
      <c r="L236" s="659"/>
      <c r="M236" s="659"/>
      <c r="N236" s="659"/>
      <c r="O236" s="659"/>
      <c r="P236" s="665"/>
      <c r="Q236" s="661">
        <f>DATE(2016,12,31)</f>
        <v>42735</v>
      </c>
      <c r="R236" s="661">
        <f>DATE(YEAR(Q236+1),12,31)</f>
        <v>43100</v>
      </c>
      <c r="S236" s="661">
        <f t="shared" ref="S236" si="181">DATE(YEAR(R236+1),12,31)</f>
        <v>43465</v>
      </c>
      <c r="T236" s="661">
        <f>DATE(YEAR(S236+1),12,31)</f>
        <v>43830</v>
      </c>
      <c r="U236" s="661">
        <f t="shared" ref="U236:BI236" si="182">DATE(YEAR(T236+1),12,31)</f>
        <v>44196</v>
      </c>
      <c r="V236" s="661">
        <f t="shared" si="182"/>
        <v>44561</v>
      </c>
      <c r="W236" s="661">
        <f t="shared" si="182"/>
        <v>44926</v>
      </c>
      <c r="X236" s="661">
        <f t="shared" si="182"/>
        <v>45291</v>
      </c>
      <c r="Y236" s="661">
        <f t="shared" si="182"/>
        <v>45657</v>
      </c>
      <c r="Z236" s="661">
        <f t="shared" si="182"/>
        <v>46022</v>
      </c>
      <c r="AA236" s="661">
        <f t="shared" si="182"/>
        <v>46387</v>
      </c>
      <c r="AB236" s="661">
        <f t="shared" si="182"/>
        <v>46752</v>
      </c>
      <c r="AC236" s="661">
        <f t="shared" si="182"/>
        <v>47118</v>
      </c>
      <c r="AD236" s="661">
        <f t="shared" si="182"/>
        <v>47483</v>
      </c>
      <c r="AE236" s="661">
        <f t="shared" si="182"/>
        <v>47848</v>
      </c>
      <c r="AF236" s="661">
        <f t="shared" si="182"/>
        <v>48213</v>
      </c>
      <c r="AG236" s="661">
        <f t="shared" si="182"/>
        <v>48579</v>
      </c>
      <c r="AH236" s="661">
        <f t="shared" si="182"/>
        <v>48944</v>
      </c>
      <c r="AI236" s="661">
        <f t="shared" si="182"/>
        <v>49309</v>
      </c>
      <c r="AJ236" s="661">
        <f t="shared" si="182"/>
        <v>49674</v>
      </c>
      <c r="AK236" s="661">
        <f t="shared" si="182"/>
        <v>50040</v>
      </c>
      <c r="AL236" s="661">
        <f t="shared" si="182"/>
        <v>50405</v>
      </c>
      <c r="AM236" s="661">
        <f t="shared" si="182"/>
        <v>50770</v>
      </c>
      <c r="AN236" s="661">
        <f t="shared" si="182"/>
        <v>51135</v>
      </c>
      <c r="AO236" s="661">
        <f t="shared" si="182"/>
        <v>51501</v>
      </c>
      <c r="AP236" s="661">
        <f t="shared" si="182"/>
        <v>51866</v>
      </c>
      <c r="AQ236" s="661">
        <f t="shared" si="182"/>
        <v>52231</v>
      </c>
      <c r="AR236" s="661">
        <f t="shared" si="182"/>
        <v>52596</v>
      </c>
      <c r="AS236" s="661">
        <f t="shared" si="182"/>
        <v>52962</v>
      </c>
      <c r="AT236" s="661">
        <f t="shared" si="182"/>
        <v>53327</v>
      </c>
      <c r="AU236" s="661">
        <f t="shared" si="182"/>
        <v>53692</v>
      </c>
      <c r="AV236" s="661">
        <f t="shared" si="182"/>
        <v>54057</v>
      </c>
      <c r="AW236" s="661">
        <f t="shared" si="182"/>
        <v>54423</v>
      </c>
      <c r="AX236" s="661">
        <f t="shared" si="182"/>
        <v>54788</v>
      </c>
      <c r="AY236" s="661">
        <f t="shared" si="182"/>
        <v>55153</v>
      </c>
      <c r="AZ236" s="661">
        <f t="shared" si="182"/>
        <v>55518</v>
      </c>
      <c r="BA236" s="661">
        <f t="shared" si="182"/>
        <v>55884</v>
      </c>
      <c r="BB236" s="661">
        <f t="shared" si="182"/>
        <v>56249</v>
      </c>
      <c r="BC236" s="661">
        <f t="shared" si="182"/>
        <v>56614</v>
      </c>
      <c r="BD236" s="661">
        <f t="shared" si="182"/>
        <v>56979</v>
      </c>
      <c r="BE236" s="661">
        <f t="shared" si="182"/>
        <v>57345</v>
      </c>
      <c r="BF236" s="661">
        <f t="shared" si="182"/>
        <v>57710</v>
      </c>
      <c r="BG236" s="661">
        <f t="shared" si="182"/>
        <v>58075</v>
      </c>
      <c r="BH236" s="661">
        <f t="shared" si="182"/>
        <v>58440</v>
      </c>
      <c r="BI236" s="661">
        <f t="shared" si="182"/>
        <v>58806</v>
      </c>
    </row>
    <row r="237" spans="1:61" ht="60">
      <c r="A237" s="8" t="s">
        <v>871</v>
      </c>
      <c r="B237" s="110" t="s">
        <v>25</v>
      </c>
      <c r="C237" s="13"/>
      <c r="D237" s="13"/>
      <c r="E237" s="13"/>
      <c r="F237" s="13"/>
      <c r="G237" s="13"/>
      <c r="H237" s="13"/>
      <c r="I237" s="13"/>
      <c r="J237" s="13"/>
      <c r="K237" s="13"/>
      <c r="L237" s="13"/>
      <c r="M237" s="13"/>
      <c r="N237" s="13"/>
      <c r="O237" s="13"/>
      <c r="P237" s="13"/>
      <c r="Q237" s="78"/>
      <c r="R237" s="78"/>
      <c r="S237" s="78"/>
      <c r="T237" s="111">
        <f t="shared" ref="T237:BI237" si="183">T$101*(T$217*10^-6)*$T$225*$X$225</f>
        <v>5.8236800236455687E-2</v>
      </c>
      <c r="U237" s="111">
        <f t="shared" si="183"/>
        <v>5.9700902183435905E-2</v>
      </c>
      <c r="V237" s="111">
        <f t="shared" si="183"/>
        <v>7.5421604944719126E-2</v>
      </c>
      <c r="W237" s="111">
        <f t="shared" si="183"/>
        <v>0.10051996246688222</v>
      </c>
      <c r="X237" s="111">
        <f t="shared" si="183"/>
        <v>0.12754627229244581</v>
      </c>
      <c r="Y237" s="111">
        <f t="shared" si="183"/>
        <v>0.1428196024002461</v>
      </c>
      <c r="Z237" s="111">
        <f t="shared" si="183"/>
        <v>0.15594329320870381</v>
      </c>
      <c r="AA237" s="111">
        <f t="shared" si="183"/>
        <v>0.16839084486731787</v>
      </c>
      <c r="AB237" s="111">
        <f t="shared" si="183"/>
        <v>0.18016225737608818</v>
      </c>
      <c r="AC237" s="111">
        <f t="shared" si="183"/>
        <v>0.19125753073501486</v>
      </c>
      <c r="AD237" s="111">
        <f t="shared" si="183"/>
        <v>0.20167666494409775</v>
      </c>
      <c r="AE237" s="111">
        <f t="shared" si="183"/>
        <v>0.20647692816456997</v>
      </c>
      <c r="AF237" s="111">
        <f t="shared" si="183"/>
        <v>0.2185775944420415</v>
      </c>
      <c r="AG237" s="111">
        <f t="shared" si="183"/>
        <v>0.22845744783494545</v>
      </c>
      <c r="AH237" s="111">
        <f t="shared" si="183"/>
        <v>0.23611648834328192</v>
      </c>
      <c r="AI237" s="111">
        <f t="shared" si="183"/>
        <v>0.2415547159670508</v>
      </c>
      <c r="AJ237" s="111">
        <f t="shared" si="183"/>
        <v>0.25171695844185427</v>
      </c>
      <c r="AK237" s="111">
        <f t="shared" si="183"/>
        <v>0.26003201608968596</v>
      </c>
      <c r="AL237" s="111">
        <f t="shared" si="183"/>
        <v>0.26716716713144933</v>
      </c>
      <c r="AM237" s="111">
        <f t="shared" si="183"/>
        <v>0.27312241156714445</v>
      </c>
      <c r="AN237" s="111">
        <f t="shared" si="183"/>
        <v>0.27789774939677125</v>
      </c>
      <c r="AO237" s="111">
        <f t="shared" si="183"/>
        <v>0.29296449484599379</v>
      </c>
      <c r="AP237" s="111">
        <f t="shared" si="183"/>
        <v>0.30803124029521634</v>
      </c>
      <c r="AQ237" s="111">
        <f t="shared" si="183"/>
        <v>0.32309798574443888</v>
      </c>
      <c r="AR237" s="111">
        <f t="shared" si="183"/>
        <v>0.33816473119366142</v>
      </c>
      <c r="AS237" s="111">
        <f t="shared" si="183"/>
        <v>0.35323147664288396</v>
      </c>
      <c r="AT237" s="111">
        <f t="shared" si="183"/>
        <v>0.3682982220921065</v>
      </c>
      <c r="AU237" s="111">
        <f t="shared" si="183"/>
        <v>0.3839229951505595</v>
      </c>
      <c r="AV237" s="111">
        <f t="shared" si="183"/>
        <v>0.39954776820901255</v>
      </c>
      <c r="AW237" s="111">
        <f t="shared" si="183"/>
        <v>0.41517254126746556</v>
      </c>
      <c r="AX237" s="111">
        <f t="shared" si="183"/>
        <v>0.4307973143259185</v>
      </c>
      <c r="AY237" s="111">
        <f t="shared" si="183"/>
        <v>0.4464220873843715</v>
      </c>
      <c r="AZ237" s="111">
        <f t="shared" si="183"/>
        <v>0.4464220873843715</v>
      </c>
      <c r="BA237" s="111">
        <f t="shared" si="183"/>
        <v>0.4464220873843715</v>
      </c>
      <c r="BB237" s="111">
        <f t="shared" si="183"/>
        <v>0.4464220873843715</v>
      </c>
      <c r="BC237" s="111">
        <f t="shared" si="183"/>
        <v>0.4464220873843715</v>
      </c>
      <c r="BD237" s="111">
        <f t="shared" si="183"/>
        <v>0.4464220873843715</v>
      </c>
      <c r="BE237" s="111">
        <f t="shared" si="183"/>
        <v>0.4464220873843715</v>
      </c>
      <c r="BF237" s="111">
        <f t="shared" si="183"/>
        <v>0.4464220873843715</v>
      </c>
      <c r="BG237" s="111">
        <f t="shared" si="183"/>
        <v>0.4464220873843715</v>
      </c>
      <c r="BH237" s="111">
        <f t="shared" si="183"/>
        <v>0.4464220873843715</v>
      </c>
      <c r="BI237" s="111">
        <f t="shared" si="183"/>
        <v>0.4464220873843715</v>
      </c>
    </row>
    <row r="238" spans="1:61" ht="75">
      <c r="A238" s="8" t="s">
        <v>872</v>
      </c>
      <c r="B238" s="110" t="s">
        <v>25</v>
      </c>
      <c r="C238" s="13"/>
      <c r="D238" s="13"/>
      <c r="E238" s="13"/>
      <c r="F238" s="13"/>
      <c r="G238" s="13"/>
      <c r="H238" s="13"/>
      <c r="I238" s="13"/>
      <c r="J238" s="13"/>
      <c r="K238" s="13"/>
      <c r="L238" s="13"/>
      <c r="M238" s="13"/>
      <c r="N238" s="13"/>
      <c r="O238" s="13"/>
      <c r="P238" s="13"/>
      <c r="Q238" s="78"/>
      <c r="R238" s="78"/>
      <c r="S238" s="78"/>
      <c r="T238" s="111">
        <f>T$101*(T$217*10^-6)*$T$225*$X$226</f>
        <v>6.8064260276357591E-2</v>
      </c>
      <c r="U238" s="111">
        <f t="shared" ref="U238:BI238" si="184">U$101*(U$217*10^-6)*$T$225*$X$226</f>
        <v>6.9775429426890731E-2</v>
      </c>
      <c r="V238" s="111">
        <f t="shared" si="184"/>
        <v>8.8149000779140493E-2</v>
      </c>
      <c r="W238" s="111">
        <f t="shared" si="184"/>
        <v>0.11748270613316861</v>
      </c>
      <c r="X238" s="111">
        <f t="shared" si="184"/>
        <v>0.14906970574179607</v>
      </c>
      <c r="Y238" s="111">
        <f t="shared" si="184"/>
        <v>0.16692041030528765</v>
      </c>
      <c r="Z238" s="111">
        <f t="shared" si="184"/>
        <v>0.18225872393767262</v>
      </c>
      <c r="AA238" s="111">
        <f t="shared" si="184"/>
        <v>0.19680679993867778</v>
      </c>
      <c r="AB238" s="111">
        <f t="shared" si="184"/>
        <v>0.2105646383083031</v>
      </c>
      <c r="AC238" s="111">
        <f t="shared" si="184"/>
        <v>0.22353223904654865</v>
      </c>
      <c r="AD238" s="111">
        <f t="shared" si="184"/>
        <v>0.23570960215341427</v>
      </c>
      <c r="AE238" s="111">
        <f t="shared" si="184"/>
        <v>0.24131990979234119</v>
      </c>
      <c r="AF238" s="111">
        <f t="shared" si="184"/>
        <v>0.25546256350413604</v>
      </c>
      <c r="AG238" s="111">
        <f t="shared" si="184"/>
        <v>0.26700964215709255</v>
      </c>
      <c r="AH238" s="111">
        <f t="shared" si="184"/>
        <v>0.27596114575121078</v>
      </c>
      <c r="AI238" s="111">
        <f t="shared" si="184"/>
        <v>0.28231707428649067</v>
      </c>
      <c r="AJ238" s="111">
        <f t="shared" si="184"/>
        <v>0.29419419517891721</v>
      </c>
      <c r="AK238" s="111">
        <f t="shared" si="184"/>
        <v>0.30391241880482051</v>
      </c>
      <c r="AL238" s="111">
        <f t="shared" si="184"/>
        <v>0.31225162658488148</v>
      </c>
      <c r="AM238" s="111">
        <f t="shared" si="184"/>
        <v>0.31921181851910013</v>
      </c>
      <c r="AN238" s="111">
        <f t="shared" si="184"/>
        <v>0.32479299460747646</v>
      </c>
      <c r="AO238" s="111">
        <f t="shared" si="184"/>
        <v>0.34240225335125529</v>
      </c>
      <c r="AP238" s="111">
        <f t="shared" si="184"/>
        <v>0.36001151209503413</v>
      </c>
      <c r="AQ238" s="111">
        <f t="shared" si="184"/>
        <v>0.37762077083881301</v>
      </c>
      <c r="AR238" s="111">
        <f t="shared" si="184"/>
        <v>0.39523002958259185</v>
      </c>
      <c r="AS238" s="111">
        <f t="shared" si="184"/>
        <v>0.41283928832637068</v>
      </c>
      <c r="AT238" s="111">
        <f t="shared" si="184"/>
        <v>0.43044854707014951</v>
      </c>
      <c r="AU238" s="111">
        <f t="shared" si="184"/>
        <v>0.44871000058221649</v>
      </c>
      <c r="AV238" s="111">
        <f t="shared" si="184"/>
        <v>0.46697145409428348</v>
      </c>
      <c r="AW238" s="111">
        <f t="shared" si="184"/>
        <v>0.48523290760635046</v>
      </c>
      <c r="AX238" s="111">
        <f t="shared" si="184"/>
        <v>0.50349436111841728</v>
      </c>
      <c r="AY238" s="111">
        <f t="shared" si="184"/>
        <v>0.52175581463048426</v>
      </c>
      <c r="AZ238" s="111">
        <f t="shared" si="184"/>
        <v>0.52175581463048426</v>
      </c>
      <c r="BA238" s="111">
        <f t="shared" si="184"/>
        <v>0.52175581463048426</v>
      </c>
      <c r="BB238" s="111">
        <f t="shared" si="184"/>
        <v>0.52175581463048426</v>
      </c>
      <c r="BC238" s="111">
        <f t="shared" si="184"/>
        <v>0.52175581463048426</v>
      </c>
      <c r="BD238" s="111">
        <f t="shared" si="184"/>
        <v>0.52175581463048426</v>
      </c>
      <c r="BE238" s="111">
        <f t="shared" si="184"/>
        <v>0.52175581463048426</v>
      </c>
      <c r="BF238" s="111">
        <f t="shared" si="184"/>
        <v>0.52175581463048426</v>
      </c>
      <c r="BG238" s="111">
        <f t="shared" si="184"/>
        <v>0.52175581463048426</v>
      </c>
      <c r="BH238" s="111">
        <f t="shared" si="184"/>
        <v>0.52175581463048426</v>
      </c>
      <c r="BI238" s="111">
        <f t="shared" si="184"/>
        <v>0.52175581463048426</v>
      </c>
    </row>
    <row r="239" spans="1:61" s="734" customFormat="1" ht="60">
      <c r="A239" s="8" t="s">
        <v>873</v>
      </c>
      <c r="B239" s="110" t="s">
        <v>25</v>
      </c>
      <c r="C239" s="13"/>
      <c r="D239" s="13"/>
      <c r="E239" s="13"/>
      <c r="F239" s="13"/>
      <c r="G239" s="13"/>
      <c r="H239" s="13"/>
      <c r="I239" s="13"/>
      <c r="J239" s="13"/>
      <c r="K239" s="13"/>
      <c r="L239" s="13"/>
      <c r="M239" s="13"/>
      <c r="N239" s="13"/>
      <c r="O239" s="13"/>
      <c r="P239" s="13"/>
      <c r="Q239" s="78"/>
      <c r="R239" s="78"/>
      <c r="S239" s="78"/>
      <c r="T239" s="111">
        <f>T$101*(T$217*10^-6)*$T$226*$X$225</f>
        <v>6.6972320271924041E-2</v>
      </c>
      <c r="U239" s="111">
        <f t="shared" ref="U239:BI239" si="185">U$101*(U$217*10^-6)*$T$226*$X$225</f>
        <v>6.8656037510951284E-2</v>
      </c>
      <c r="V239" s="111">
        <f t="shared" si="185"/>
        <v>8.673484568642699E-2</v>
      </c>
      <c r="W239" s="111">
        <f t="shared" si="185"/>
        <v>0.11559795683691454</v>
      </c>
      <c r="X239" s="111">
        <f t="shared" si="185"/>
        <v>0.14667821313631266</v>
      </c>
      <c r="Y239" s="111">
        <f t="shared" si="185"/>
        <v>0.16424254276028299</v>
      </c>
      <c r="Z239" s="111">
        <f t="shared" si="185"/>
        <v>0.17933478719000936</v>
      </c>
      <c r="AA239" s="111">
        <f t="shared" si="185"/>
        <v>0.19364947159741552</v>
      </c>
      <c r="AB239" s="111">
        <f t="shared" si="185"/>
        <v>0.20718659598250139</v>
      </c>
      <c r="AC239" s="111">
        <f t="shared" si="185"/>
        <v>0.21994616034526707</v>
      </c>
      <c r="AD239" s="111">
        <f t="shared" si="185"/>
        <v>0.2319281646857124</v>
      </c>
      <c r="AE239" s="111">
        <f t="shared" si="185"/>
        <v>0.23744846738925546</v>
      </c>
      <c r="AF239" s="111">
        <f t="shared" si="185"/>
        <v>0.2513642336083477</v>
      </c>
      <c r="AG239" s="111">
        <f t="shared" si="185"/>
        <v>0.26272606501018725</v>
      </c>
      <c r="AH239" s="111">
        <f t="shared" si="185"/>
        <v>0.27153396159477416</v>
      </c>
      <c r="AI239" s="111">
        <f t="shared" si="185"/>
        <v>0.27778792336210839</v>
      </c>
      <c r="AJ239" s="111">
        <f t="shared" si="185"/>
        <v>0.28947450220813237</v>
      </c>
      <c r="AK239" s="111">
        <f t="shared" si="185"/>
        <v>0.29903681850313885</v>
      </c>
      <c r="AL239" s="111">
        <f t="shared" si="185"/>
        <v>0.30724224220116669</v>
      </c>
      <c r="AM239" s="111">
        <f t="shared" si="185"/>
        <v>0.31409077330221608</v>
      </c>
      <c r="AN239" s="111">
        <f t="shared" si="185"/>
        <v>0.31958241180628694</v>
      </c>
      <c r="AO239" s="111">
        <f t="shared" si="185"/>
        <v>0.33690916907289281</v>
      </c>
      <c r="AP239" s="111">
        <f t="shared" si="185"/>
        <v>0.35423592633949874</v>
      </c>
      <c r="AQ239" s="111">
        <f t="shared" si="185"/>
        <v>0.37156268360610467</v>
      </c>
      <c r="AR239" s="111">
        <f t="shared" si="185"/>
        <v>0.3888894408727106</v>
      </c>
      <c r="AS239" s="111">
        <f t="shared" si="185"/>
        <v>0.40621619813931653</v>
      </c>
      <c r="AT239" s="111">
        <f t="shared" si="185"/>
        <v>0.42354295540592246</v>
      </c>
      <c r="AU239" s="111">
        <f t="shared" si="185"/>
        <v>0.44151144442314338</v>
      </c>
      <c r="AV239" s="111">
        <f t="shared" si="185"/>
        <v>0.45947993344036442</v>
      </c>
      <c r="AW239" s="111">
        <f t="shared" si="185"/>
        <v>0.47744842245758534</v>
      </c>
      <c r="AX239" s="111">
        <f t="shared" si="185"/>
        <v>0.49541691147480627</v>
      </c>
      <c r="AY239" s="111">
        <f t="shared" si="185"/>
        <v>0.51338540049202719</v>
      </c>
      <c r="AZ239" s="111">
        <f t="shared" si="185"/>
        <v>0.51338540049202719</v>
      </c>
      <c r="BA239" s="111">
        <f t="shared" si="185"/>
        <v>0.51338540049202719</v>
      </c>
      <c r="BB239" s="111">
        <f t="shared" si="185"/>
        <v>0.51338540049202719</v>
      </c>
      <c r="BC239" s="111">
        <f t="shared" si="185"/>
        <v>0.51338540049202719</v>
      </c>
      <c r="BD239" s="111">
        <f t="shared" si="185"/>
        <v>0.51338540049202719</v>
      </c>
      <c r="BE239" s="111">
        <f t="shared" si="185"/>
        <v>0.51338540049202719</v>
      </c>
      <c r="BF239" s="111">
        <f t="shared" si="185"/>
        <v>0.51338540049202719</v>
      </c>
      <c r="BG239" s="111">
        <f t="shared" si="185"/>
        <v>0.51338540049202719</v>
      </c>
      <c r="BH239" s="111">
        <f t="shared" si="185"/>
        <v>0.51338540049202719</v>
      </c>
      <c r="BI239" s="111">
        <f t="shared" si="185"/>
        <v>0.51338540049202719</v>
      </c>
    </row>
    <row r="240" spans="1:61" s="734" customFormat="1" ht="75">
      <c r="A240" s="8" t="s">
        <v>874</v>
      </c>
      <c r="B240" s="110" t="s">
        <v>25</v>
      </c>
      <c r="C240" s="13"/>
      <c r="D240" s="13"/>
      <c r="E240" s="13"/>
      <c r="F240" s="13"/>
      <c r="G240" s="13"/>
      <c r="H240" s="13"/>
      <c r="I240" s="13"/>
      <c r="J240" s="13"/>
      <c r="K240" s="13"/>
      <c r="L240" s="13"/>
      <c r="M240" s="13"/>
      <c r="N240" s="13"/>
      <c r="O240" s="13"/>
      <c r="P240" s="13"/>
      <c r="Q240" s="78"/>
      <c r="R240" s="78"/>
      <c r="S240" s="78"/>
      <c r="T240" s="111">
        <f>T$101*(T$217*10^-6)*$T$226*$X$226</f>
        <v>7.827389931781123E-2</v>
      </c>
      <c r="U240" s="111">
        <f t="shared" ref="U240:BI240" si="186">U$101*(U$217*10^-6)*$T$226*$X$226</f>
        <v>8.0241743840924321E-2</v>
      </c>
      <c r="V240" s="111">
        <f t="shared" si="186"/>
        <v>0.10137135089601156</v>
      </c>
      <c r="W240" s="111">
        <f t="shared" si="186"/>
        <v>0.13510511205314388</v>
      </c>
      <c r="X240" s="111">
        <f t="shared" si="186"/>
        <v>0.17143016160306546</v>
      </c>
      <c r="Y240" s="111">
        <f t="shared" si="186"/>
        <v>0.19195847185108078</v>
      </c>
      <c r="Z240" s="111">
        <f t="shared" si="186"/>
        <v>0.20959753252832347</v>
      </c>
      <c r="AA240" s="111">
        <f t="shared" si="186"/>
        <v>0.22632781992947942</v>
      </c>
      <c r="AB240" s="111">
        <f t="shared" si="186"/>
        <v>0.24214933405454853</v>
      </c>
      <c r="AC240" s="111">
        <f t="shared" si="186"/>
        <v>0.25706207490353095</v>
      </c>
      <c r="AD240" s="111">
        <f t="shared" si="186"/>
        <v>0.27106604247642641</v>
      </c>
      <c r="AE240" s="111">
        <f t="shared" si="186"/>
        <v>0.27751789626119233</v>
      </c>
      <c r="AF240" s="111">
        <f t="shared" si="186"/>
        <v>0.29378194802975643</v>
      </c>
      <c r="AG240" s="111">
        <f t="shared" si="186"/>
        <v>0.30706108848065639</v>
      </c>
      <c r="AH240" s="111">
        <f t="shared" si="186"/>
        <v>0.31735531761389235</v>
      </c>
      <c r="AI240" s="111">
        <f t="shared" si="186"/>
        <v>0.32466463542946422</v>
      </c>
      <c r="AJ240" s="111">
        <f t="shared" si="186"/>
        <v>0.33832332445575475</v>
      </c>
      <c r="AK240" s="111">
        <f t="shared" si="186"/>
        <v>0.34949928162554356</v>
      </c>
      <c r="AL240" s="111">
        <f t="shared" si="186"/>
        <v>0.35908937057261364</v>
      </c>
      <c r="AM240" s="111">
        <f t="shared" si="186"/>
        <v>0.36709359129696512</v>
      </c>
      <c r="AN240" s="111">
        <f t="shared" si="186"/>
        <v>0.37351194379859792</v>
      </c>
      <c r="AO240" s="111">
        <f t="shared" si="186"/>
        <v>0.39376259135394354</v>
      </c>
      <c r="AP240" s="111">
        <f t="shared" si="186"/>
        <v>0.41401323890928921</v>
      </c>
      <c r="AQ240" s="111">
        <f t="shared" si="186"/>
        <v>0.43426388646463487</v>
      </c>
      <c r="AR240" s="111">
        <f t="shared" si="186"/>
        <v>0.4545145340199806</v>
      </c>
      <c r="AS240" s="111">
        <f t="shared" si="186"/>
        <v>0.47476518157532627</v>
      </c>
      <c r="AT240" s="111">
        <f t="shared" si="186"/>
        <v>0.49501582913067194</v>
      </c>
      <c r="AU240" s="111">
        <f t="shared" si="186"/>
        <v>0.51601650066954896</v>
      </c>
      <c r="AV240" s="111">
        <f t="shared" si="186"/>
        <v>0.53701717220842604</v>
      </c>
      <c r="AW240" s="111">
        <f t="shared" si="186"/>
        <v>0.5580178437473029</v>
      </c>
      <c r="AX240" s="111">
        <f t="shared" si="186"/>
        <v>0.57901851528617987</v>
      </c>
      <c r="AY240" s="111">
        <f t="shared" si="186"/>
        <v>0.60001918682505684</v>
      </c>
      <c r="AZ240" s="111">
        <f t="shared" si="186"/>
        <v>0.60001918682505684</v>
      </c>
      <c r="BA240" s="111">
        <f t="shared" si="186"/>
        <v>0.60001918682505684</v>
      </c>
      <c r="BB240" s="111">
        <f t="shared" si="186"/>
        <v>0.60001918682505684</v>
      </c>
      <c r="BC240" s="111">
        <f t="shared" si="186"/>
        <v>0.60001918682505684</v>
      </c>
      <c r="BD240" s="111">
        <f t="shared" si="186"/>
        <v>0.60001918682505684</v>
      </c>
      <c r="BE240" s="111">
        <f t="shared" si="186"/>
        <v>0.60001918682505684</v>
      </c>
      <c r="BF240" s="111">
        <f t="shared" si="186"/>
        <v>0.60001918682505684</v>
      </c>
      <c r="BG240" s="111">
        <f t="shared" si="186"/>
        <v>0.60001918682505684</v>
      </c>
      <c r="BH240" s="111">
        <f t="shared" si="186"/>
        <v>0.60001918682505684</v>
      </c>
      <c r="BI240" s="111">
        <f t="shared" si="186"/>
        <v>0.60001918682505684</v>
      </c>
    </row>
    <row r="241" spans="1:61" s="734" customFormat="1"/>
    <row r="242" spans="1:61"/>
    <row r="243" spans="1:61">
      <c r="A243" s="759" t="s">
        <v>910</v>
      </c>
      <c r="B243" s="759"/>
      <c r="C243" s="759"/>
      <c r="D243" s="759"/>
      <c r="E243" s="759"/>
      <c r="F243" s="759"/>
      <c r="G243" s="759"/>
      <c r="H243" s="759"/>
      <c r="I243" s="759"/>
      <c r="J243" s="759"/>
      <c r="K243" s="759"/>
      <c r="L243" s="759"/>
      <c r="M243" s="759"/>
      <c r="N243" s="759"/>
      <c r="O243" s="759"/>
      <c r="P243" s="759"/>
      <c r="Q243" s="759"/>
      <c r="R243" s="759"/>
      <c r="S243" s="759"/>
      <c r="T243" s="759"/>
      <c r="U243" s="759"/>
      <c r="V243" s="759"/>
    </row>
    <row r="244" spans="1:61" s="592" customFormat="1">
      <c r="A244" s="759"/>
      <c r="B244" s="759"/>
      <c r="C244" s="759"/>
      <c r="D244" s="759"/>
      <c r="E244" s="759"/>
      <c r="F244" s="759"/>
      <c r="G244" s="759"/>
      <c r="H244" s="759"/>
      <c r="I244" s="759"/>
      <c r="J244" s="759"/>
      <c r="K244" s="759"/>
      <c r="L244" s="759"/>
      <c r="M244" s="759"/>
      <c r="N244" s="759"/>
      <c r="O244" s="759"/>
      <c r="P244" s="759"/>
      <c r="Q244" s="759"/>
      <c r="R244" s="759"/>
      <c r="S244" s="759"/>
      <c r="T244" s="759"/>
      <c r="U244" s="759"/>
      <c r="V244" s="759"/>
    </row>
    <row r="245" spans="1:61">
      <c r="A245" s="793" t="s">
        <v>521</v>
      </c>
      <c r="B245" s="793"/>
      <c r="C245" s="793"/>
      <c r="D245" s="793"/>
      <c r="E245" s="793"/>
      <c r="F245" s="793"/>
      <c r="G245" s="793"/>
      <c r="H245" s="793"/>
      <c r="I245" s="793"/>
      <c r="J245" s="793"/>
      <c r="K245" s="793"/>
      <c r="L245" s="793"/>
      <c r="M245" s="793"/>
      <c r="N245" s="793"/>
      <c r="O245" s="793"/>
      <c r="P245" s="793"/>
      <c r="Q245" s="793"/>
      <c r="R245" s="793"/>
      <c r="S245" s="793"/>
      <c r="T245" s="793"/>
      <c r="U245" s="793"/>
      <c r="V245" s="793"/>
    </row>
    <row r="246" spans="1:61" s="592" customFormat="1">
      <c r="A246" s="793"/>
      <c r="B246" s="793"/>
      <c r="C246" s="793"/>
      <c r="D246" s="793"/>
      <c r="E246" s="793"/>
      <c r="F246" s="793"/>
      <c r="G246" s="793"/>
      <c r="H246" s="793"/>
      <c r="I246" s="793"/>
      <c r="J246" s="793"/>
      <c r="K246" s="793"/>
      <c r="L246" s="793"/>
      <c r="M246" s="793"/>
      <c r="N246" s="793"/>
      <c r="O246" s="793"/>
      <c r="P246" s="793"/>
      <c r="Q246" s="793"/>
      <c r="R246" s="793"/>
      <c r="S246" s="793"/>
      <c r="T246" s="793"/>
      <c r="U246" s="793"/>
      <c r="V246" s="793"/>
    </row>
    <row r="247" spans="1:61" s="592" customFormat="1">
      <c r="A247" s="791" t="s">
        <v>911</v>
      </c>
      <c r="B247" s="791"/>
      <c r="C247" s="791"/>
      <c r="D247" s="791"/>
      <c r="E247" s="791"/>
      <c r="F247" s="791"/>
      <c r="G247" s="791"/>
      <c r="H247" s="791"/>
      <c r="I247" s="791"/>
      <c r="J247" s="791"/>
      <c r="K247" s="791"/>
      <c r="L247" s="791"/>
      <c r="M247" s="791"/>
      <c r="N247" s="791"/>
      <c r="O247" s="791"/>
      <c r="P247" s="791"/>
      <c r="Q247" s="791"/>
      <c r="R247" s="791"/>
      <c r="S247" s="791"/>
      <c r="T247" s="791"/>
      <c r="U247" s="791"/>
      <c r="V247" s="791"/>
    </row>
    <row r="248" spans="1:61" s="592" customFormat="1">
      <c r="A248" s="791"/>
      <c r="B248" s="791"/>
      <c r="C248" s="791"/>
      <c r="D248" s="791"/>
      <c r="E248" s="791"/>
      <c r="F248" s="791"/>
      <c r="G248" s="791"/>
      <c r="H248" s="791"/>
      <c r="I248" s="791"/>
      <c r="J248" s="791"/>
      <c r="K248" s="791"/>
      <c r="L248" s="791"/>
      <c r="M248" s="791"/>
      <c r="N248" s="791"/>
      <c r="O248" s="791"/>
      <c r="P248" s="791"/>
      <c r="Q248" s="791"/>
      <c r="R248" s="791"/>
      <c r="S248" s="791"/>
      <c r="T248" s="791"/>
      <c r="U248" s="791"/>
      <c r="V248" s="791"/>
    </row>
    <row r="249" spans="1:61" s="592" customFormat="1">
      <c r="A249" s="791"/>
      <c r="B249" s="791"/>
      <c r="C249" s="791"/>
      <c r="D249" s="791"/>
      <c r="E249" s="791"/>
      <c r="F249" s="791"/>
      <c r="G249" s="791"/>
      <c r="H249" s="791"/>
      <c r="I249" s="791"/>
      <c r="J249" s="791"/>
      <c r="K249" s="791"/>
      <c r="L249" s="791"/>
      <c r="M249" s="791"/>
      <c r="N249" s="791"/>
      <c r="O249" s="791"/>
      <c r="P249" s="791"/>
      <c r="Q249" s="791"/>
      <c r="R249" s="791"/>
      <c r="S249" s="791"/>
      <c r="T249" s="791"/>
      <c r="U249" s="791"/>
      <c r="V249" s="791"/>
    </row>
    <row r="250" spans="1:61" s="592" customFormat="1">
      <c r="A250" s="792"/>
      <c r="B250" s="792"/>
      <c r="C250" s="792"/>
      <c r="D250" s="792"/>
      <c r="E250" s="792"/>
      <c r="F250" s="792"/>
      <c r="G250" s="792"/>
      <c r="H250" s="792"/>
      <c r="I250" s="792"/>
      <c r="J250" s="792"/>
      <c r="K250" s="792"/>
      <c r="L250" s="792"/>
      <c r="M250" s="792"/>
      <c r="N250" s="792"/>
      <c r="O250" s="792"/>
      <c r="P250" s="792"/>
      <c r="Q250" s="792"/>
      <c r="R250" s="792"/>
      <c r="S250" s="792"/>
      <c r="T250" s="792"/>
      <c r="U250" s="792"/>
      <c r="V250" s="792"/>
    </row>
    <row r="251" spans="1:61">
      <c r="A251" s="757"/>
      <c r="B251" s="663" t="s">
        <v>309</v>
      </c>
      <c r="C251" s="649"/>
      <c r="D251" s="649"/>
      <c r="E251" s="649"/>
      <c r="F251" s="649"/>
      <c r="G251" s="649"/>
      <c r="H251" s="649"/>
      <c r="I251" s="649"/>
      <c r="J251" s="649"/>
      <c r="K251" s="649"/>
      <c r="L251" s="649"/>
      <c r="M251" s="649"/>
      <c r="N251" s="649"/>
      <c r="O251" s="649"/>
      <c r="P251" s="652"/>
      <c r="Q251" s="6"/>
      <c r="R251" s="6"/>
      <c r="S251" s="6"/>
      <c r="T251" s="6">
        <v>2020</v>
      </c>
      <c r="U251" s="6">
        <f>T251+1</f>
        <v>2021</v>
      </c>
      <c r="V251" s="6">
        <f t="shared" ref="V251:AK251" si="187">U251+1</f>
        <v>2022</v>
      </c>
      <c r="W251" s="6">
        <f t="shared" si="187"/>
        <v>2023</v>
      </c>
      <c r="X251" s="6">
        <f t="shared" si="187"/>
        <v>2024</v>
      </c>
      <c r="Y251" s="6">
        <f t="shared" si="187"/>
        <v>2025</v>
      </c>
      <c r="Z251" s="6">
        <f t="shared" si="187"/>
        <v>2026</v>
      </c>
      <c r="AA251" s="6">
        <f t="shared" si="187"/>
        <v>2027</v>
      </c>
      <c r="AB251" s="6">
        <f t="shared" si="187"/>
        <v>2028</v>
      </c>
      <c r="AC251" s="6">
        <f t="shared" si="187"/>
        <v>2029</v>
      </c>
      <c r="AD251" s="6">
        <f t="shared" si="187"/>
        <v>2030</v>
      </c>
      <c r="AE251" s="6">
        <f t="shared" si="187"/>
        <v>2031</v>
      </c>
      <c r="AF251" s="6">
        <f t="shared" si="187"/>
        <v>2032</v>
      </c>
      <c r="AG251" s="6">
        <f t="shared" si="187"/>
        <v>2033</v>
      </c>
      <c r="AH251" s="6">
        <f t="shared" si="187"/>
        <v>2034</v>
      </c>
      <c r="AI251" s="6">
        <f t="shared" si="187"/>
        <v>2035</v>
      </c>
      <c r="AJ251" s="6">
        <f t="shared" si="187"/>
        <v>2036</v>
      </c>
      <c r="AK251" s="6">
        <f t="shared" si="187"/>
        <v>2037</v>
      </c>
      <c r="AL251" s="6">
        <f t="shared" ref="AL251:BA251" si="188">AK251+1</f>
        <v>2038</v>
      </c>
      <c r="AM251" s="6">
        <f t="shared" si="188"/>
        <v>2039</v>
      </c>
      <c r="AN251" s="6">
        <f t="shared" si="188"/>
        <v>2040</v>
      </c>
      <c r="AO251" s="6">
        <f t="shared" si="188"/>
        <v>2041</v>
      </c>
      <c r="AP251" s="6">
        <f t="shared" si="188"/>
        <v>2042</v>
      </c>
      <c r="AQ251" s="6">
        <f t="shared" si="188"/>
        <v>2043</v>
      </c>
      <c r="AR251" s="6">
        <f t="shared" si="188"/>
        <v>2044</v>
      </c>
      <c r="AS251" s="6">
        <f t="shared" si="188"/>
        <v>2045</v>
      </c>
      <c r="AT251" s="6">
        <f t="shared" si="188"/>
        <v>2046</v>
      </c>
      <c r="AU251" s="6">
        <f t="shared" si="188"/>
        <v>2047</v>
      </c>
      <c r="AV251" s="6">
        <f t="shared" si="188"/>
        <v>2048</v>
      </c>
      <c r="AW251" s="6">
        <f t="shared" si="188"/>
        <v>2049</v>
      </c>
      <c r="AX251" s="6">
        <f t="shared" si="188"/>
        <v>2050</v>
      </c>
      <c r="AY251" s="6">
        <f t="shared" si="188"/>
        <v>2051</v>
      </c>
      <c r="AZ251" s="6">
        <f t="shared" si="188"/>
        <v>2052</v>
      </c>
      <c r="BA251" s="6">
        <f t="shared" si="188"/>
        <v>2053</v>
      </c>
      <c r="BB251" s="6">
        <f t="shared" ref="BB251:BI251" si="189">BA251+1</f>
        <v>2054</v>
      </c>
      <c r="BC251" s="6">
        <f t="shared" si="189"/>
        <v>2055</v>
      </c>
      <c r="BD251" s="6">
        <f t="shared" si="189"/>
        <v>2056</v>
      </c>
      <c r="BE251" s="6">
        <f t="shared" si="189"/>
        <v>2057</v>
      </c>
      <c r="BF251" s="6">
        <f t="shared" si="189"/>
        <v>2058</v>
      </c>
      <c r="BG251" s="6">
        <f t="shared" si="189"/>
        <v>2059</v>
      </c>
      <c r="BH251" s="6">
        <f t="shared" si="189"/>
        <v>2060</v>
      </c>
      <c r="BI251" s="6">
        <f t="shared" si="189"/>
        <v>2061</v>
      </c>
    </row>
    <row r="252" spans="1:61">
      <c r="A252" s="758"/>
      <c r="B252" s="664" t="s">
        <v>510</v>
      </c>
      <c r="C252" s="659"/>
      <c r="D252" s="659"/>
      <c r="E252" s="659"/>
      <c r="F252" s="659"/>
      <c r="G252" s="659"/>
      <c r="H252" s="659"/>
      <c r="I252" s="659"/>
      <c r="J252" s="659"/>
      <c r="K252" s="659"/>
      <c r="L252" s="659"/>
      <c r="M252" s="659"/>
      <c r="N252" s="659"/>
      <c r="O252" s="659"/>
      <c r="P252" s="665"/>
      <c r="Q252" s="661">
        <f>DATE(2016,12,31)</f>
        <v>42735</v>
      </c>
      <c r="R252" s="661">
        <f>DATE(YEAR(Q252+1),12,31)</f>
        <v>43100</v>
      </c>
      <c r="S252" s="661">
        <f t="shared" ref="S252" si="190">DATE(YEAR(R252+1),12,31)</f>
        <v>43465</v>
      </c>
      <c r="T252" s="661">
        <f>DATE(YEAR(S252+1),12,31)</f>
        <v>43830</v>
      </c>
      <c r="U252" s="661">
        <f t="shared" ref="U252:BI252" si="191">DATE(YEAR(T252+1),12,31)</f>
        <v>44196</v>
      </c>
      <c r="V252" s="661">
        <f t="shared" si="191"/>
        <v>44561</v>
      </c>
      <c r="W252" s="661">
        <f t="shared" si="191"/>
        <v>44926</v>
      </c>
      <c r="X252" s="661">
        <f t="shared" si="191"/>
        <v>45291</v>
      </c>
      <c r="Y252" s="661">
        <f t="shared" si="191"/>
        <v>45657</v>
      </c>
      <c r="Z252" s="661">
        <f t="shared" si="191"/>
        <v>46022</v>
      </c>
      <c r="AA252" s="661">
        <f t="shared" si="191"/>
        <v>46387</v>
      </c>
      <c r="AB252" s="661">
        <f t="shared" si="191"/>
        <v>46752</v>
      </c>
      <c r="AC252" s="661">
        <f t="shared" si="191"/>
        <v>47118</v>
      </c>
      <c r="AD252" s="661">
        <f t="shared" si="191"/>
        <v>47483</v>
      </c>
      <c r="AE252" s="661">
        <f t="shared" si="191"/>
        <v>47848</v>
      </c>
      <c r="AF252" s="661">
        <f t="shared" si="191"/>
        <v>48213</v>
      </c>
      <c r="AG252" s="661">
        <f t="shared" si="191"/>
        <v>48579</v>
      </c>
      <c r="AH252" s="661">
        <f t="shared" si="191"/>
        <v>48944</v>
      </c>
      <c r="AI252" s="661">
        <f t="shared" si="191"/>
        <v>49309</v>
      </c>
      <c r="AJ252" s="661">
        <f t="shared" si="191"/>
        <v>49674</v>
      </c>
      <c r="AK252" s="661">
        <f t="shared" si="191"/>
        <v>50040</v>
      </c>
      <c r="AL252" s="661">
        <f t="shared" si="191"/>
        <v>50405</v>
      </c>
      <c r="AM252" s="661">
        <f t="shared" si="191"/>
        <v>50770</v>
      </c>
      <c r="AN252" s="661">
        <f t="shared" si="191"/>
        <v>51135</v>
      </c>
      <c r="AO252" s="661">
        <f t="shared" si="191"/>
        <v>51501</v>
      </c>
      <c r="AP252" s="661">
        <f t="shared" si="191"/>
        <v>51866</v>
      </c>
      <c r="AQ252" s="661">
        <f t="shared" si="191"/>
        <v>52231</v>
      </c>
      <c r="AR252" s="661">
        <f t="shared" si="191"/>
        <v>52596</v>
      </c>
      <c r="AS252" s="661">
        <f t="shared" si="191"/>
        <v>52962</v>
      </c>
      <c r="AT252" s="661">
        <f t="shared" si="191"/>
        <v>53327</v>
      </c>
      <c r="AU252" s="661">
        <f t="shared" si="191"/>
        <v>53692</v>
      </c>
      <c r="AV252" s="661">
        <f t="shared" si="191"/>
        <v>54057</v>
      </c>
      <c r="AW252" s="661">
        <f t="shared" si="191"/>
        <v>54423</v>
      </c>
      <c r="AX252" s="661">
        <f t="shared" si="191"/>
        <v>54788</v>
      </c>
      <c r="AY252" s="661">
        <f t="shared" si="191"/>
        <v>55153</v>
      </c>
      <c r="AZ252" s="661">
        <f t="shared" si="191"/>
        <v>55518</v>
      </c>
      <c r="BA252" s="661">
        <f t="shared" si="191"/>
        <v>55884</v>
      </c>
      <c r="BB252" s="661">
        <f t="shared" si="191"/>
        <v>56249</v>
      </c>
      <c r="BC252" s="661">
        <f t="shared" si="191"/>
        <v>56614</v>
      </c>
      <c r="BD252" s="661">
        <f t="shared" si="191"/>
        <v>56979</v>
      </c>
      <c r="BE252" s="661">
        <f t="shared" si="191"/>
        <v>57345</v>
      </c>
      <c r="BF252" s="661">
        <f t="shared" si="191"/>
        <v>57710</v>
      </c>
      <c r="BG252" s="661">
        <f t="shared" si="191"/>
        <v>58075</v>
      </c>
      <c r="BH252" s="661">
        <f t="shared" si="191"/>
        <v>58440</v>
      </c>
      <c r="BI252" s="661">
        <f t="shared" si="191"/>
        <v>58806</v>
      </c>
    </row>
    <row r="253" spans="1:61" ht="45">
      <c r="A253" s="8" t="str">
        <f>"LV ogółem, prędkość "&amp;$S$49&amp;" km/h, teren płaski, nawierzchnia nowa"</f>
        <v>LV ogółem, prędkość 60,00÷69,99 km/h, teren płaski, nawierzchnia nowa</v>
      </c>
      <c r="B253" s="110" t="s">
        <v>25</v>
      </c>
      <c r="C253" s="13"/>
      <c r="D253" s="13"/>
      <c r="E253" s="13"/>
      <c r="F253" s="13"/>
      <c r="G253" s="13"/>
      <c r="H253" s="13"/>
      <c r="I253" s="13"/>
      <c r="J253" s="13"/>
      <c r="K253" s="13"/>
      <c r="L253" s="13"/>
      <c r="M253" s="13"/>
      <c r="N253" s="13"/>
      <c r="O253" s="13"/>
      <c r="P253" s="13"/>
      <c r="Q253" s="78"/>
      <c r="R253" s="78"/>
      <c r="S253" s="78"/>
      <c r="T253" s="10">
        <f t="shared" ref="T253:BI253" si="192">T$116*U$8+T$237*U$11</f>
        <v>6.4255041154571757E-2</v>
      </c>
      <c r="U253" s="10">
        <f t="shared" si="192"/>
        <v>6.6387954586645218E-2</v>
      </c>
      <c r="V253" s="10">
        <f t="shared" si="192"/>
        <v>8.4525378506403556E-2</v>
      </c>
      <c r="W253" s="10">
        <f t="shared" si="192"/>
        <v>0.1135301833397926</v>
      </c>
      <c r="X253" s="10">
        <f t="shared" si="192"/>
        <v>0.14517091149337036</v>
      </c>
      <c r="Y253" s="10">
        <f t="shared" si="192"/>
        <v>0.16380910864812387</v>
      </c>
      <c r="Z253" s="10">
        <f t="shared" si="192"/>
        <v>0.18228884594019654</v>
      </c>
      <c r="AA253" s="10">
        <f t="shared" si="192"/>
        <v>0.20064798232388306</v>
      </c>
      <c r="AB253" s="10">
        <f t="shared" si="192"/>
        <v>0.21887213447545045</v>
      </c>
      <c r="AC253" s="10">
        <f t="shared" si="192"/>
        <v>0.23694691907116558</v>
      </c>
      <c r="AD253" s="10">
        <f t="shared" si="192"/>
        <v>0.25485795278729562</v>
      </c>
      <c r="AE253" s="10">
        <f t="shared" si="192"/>
        <v>0.27177111058967146</v>
      </c>
      <c r="AF253" s="10">
        <f t="shared" si="192"/>
        <v>0.3000605779697173</v>
      </c>
      <c r="AG253" s="10">
        <f t="shared" si="192"/>
        <v>0.32761015456060871</v>
      </c>
      <c r="AH253" s="10">
        <f t="shared" si="192"/>
        <v>0.35433556051337634</v>
      </c>
      <c r="AI253" s="10">
        <f t="shared" si="192"/>
        <v>0.38015251597905081</v>
      </c>
      <c r="AJ253" s="10">
        <f t="shared" si="192"/>
        <v>0.40604555009717197</v>
      </c>
      <c r="AK253" s="10">
        <f t="shared" si="192"/>
        <v>0.43017177584447364</v>
      </c>
      <c r="AL253" s="10">
        <f t="shared" si="192"/>
        <v>0.45353656083702076</v>
      </c>
      <c r="AM253" s="10">
        <f t="shared" si="192"/>
        <v>0.47609512761911332</v>
      </c>
      <c r="AN253" s="10">
        <f t="shared" si="192"/>
        <v>0.49780269873505079</v>
      </c>
      <c r="AO253" s="10">
        <f t="shared" si="192"/>
        <v>0.52110549261323591</v>
      </c>
      <c r="AP253" s="10">
        <f t="shared" si="192"/>
        <v>0.54402910270184912</v>
      </c>
      <c r="AQ253" s="10">
        <f t="shared" si="192"/>
        <v>0.56657352900089064</v>
      </c>
      <c r="AR253" s="10">
        <f t="shared" si="192"/>
        <v>0.58873877151036025</v>
      </c>
      <c r="AS253" s="10">
        <f t="shared" si="192"/>
        <v>0.61052483023025805</v>
      </c>
      <c r="AT253" s="10">
        <f t="shared" si="192"/>
        <v>0.63193170516058406</v>
      </c>
      <c r="AU253" s="10">
        <f t="shared" si="192"/>
        <v>0.65390984665985552</v>
      </c>
      <c r="AV253" s="10">
        <f t="shared" si="192"/>
        <v>0.67549476052549695</v>
      </c>
      <c r="AW253" s="10">
        <f t="shared" si="192"/>
        <v>0.69668644675750824</v>
      </c>
      <c r="AX253" s="10">
        <f t="shared" si="192"/>
        <v>0.7174849053558906</v>
      </c>
      <c r="AY253" s="10">
        <f t="shared" si="192"/>
        <v>0.74350767394392814</v>
      </c>
      <c r="AZ253" s="10">
        <f t="shared" si="192"/>
        <v>0.74350767394392814</v>
      </c>
      <c r="BA253" s="10">
        <f t="shared" si="192"/>
        <v>0.74350767394392814</v>
      </c>
      <c r="BB253" s="10">
        <f t="shared" si="192"/>
        <v>0.74350767394392814</v>
      </c>
      <c r="BC253" s="10">
        <f t="shared" si="192"/>
        <v>0.74350767394392814</v>
      </c>
      <c r="BD253" s="10">
        <f t="shared" si="192"/>
        <v>0.74350767394392814</v>
      </c>
      <c r="BE253" s="10">
        <f t="shared" si="192"/>
        <v>0.74350767394392814</v>
      </c>
      <c r="BF253" s="10">
        <f t="shared" si="192"/>
        <v>0.74350767394392814</v>
      </c>
      <c r="BG253" s="10">
        <f t="shared" si="192"/>
        <v>0.74350767394392814</v>
      </c>
      <c r="BH253" s="10">
        <f t="shared" si="192"/>
        <v>0.74350767394392814</v>
      </c>
      <c r="BI253" s="10">
        <f t="shared" si="192"/>
        <v>0.74350767394392814</v>
      </c>
    </row>
    <row r="254" spans="1:61" ht="45">
      <c r="A254" s="8" t="str">
        <f>"HGV ogółem, prędkość "&amp;$S$49&amp;" km/h, teren płaski, nawierzchnia nowa"</f>
        <v>HGV ogółem, prędkość 60,00÷69,99 km/h, teren płaski, nawierzchnia nowa</v>
      </c>
      <c r="B254" s="110" t="s">
        <v>25</v>
      </c>
      <c r="C254" s="13"/>
      <c r="D254" s="13"/>
      <c r="E254" s="13"/>
      <c r="F254" s="13"/>
      <c r="G254" s="13"/>
      <c r="H254" s="13"/>
      <c r="I254" s="13"/>
      <c r="J254" s="13"/>
      <c r="K254" s="13"/>
      <c r="L254" s="13"/>
      <c r="M254" s="13"/>
      <c r="N254" s="13"/>
      <c r="O254" s="13"/>
      <c r="P254" s="13"/>
      <c r="Q254" s="78"/>
      <c r="R254" s="78"/>
      <c r="S254" s="78"/>
      <c r="T254" s="10">
        <f t="shared" ref="T254:BI254" si="193">(T$101*($U$49*10^-6)*$U$74)*U$15+(0)*U$16</f>
        <v>0.17576586911509945</v>
      </c>
      <c r="U254" s="10">
        <f t="shared" si="193"/>
        <v>0.18174190866501283</v>
      </c>
      <c r="V254" s="10">
        <f t="shared" si="193"/>
        <v>0.23160052953340077</v>
      </c>
      <c r="W254" s="10">
        <f t="shared" si="193"/>
        <v>0.31138571814049482</v>
      </c>
      <c r="X254" s="10">
        <f t="shared" si="193"/>
        <v>0.39861195957118395</v>
      </c>
      <c r="Y254" s="10">
        <f t="shared" si="193"/>
        <v>0.45034022913385668</v>
      </c>
      <c r="Z254" s="10">
        <f t="shared" si="193"/>
        <v>0.50206849869652947</v>
      </c>
      <c r="AA254" s="10">
        <f t="shared" si="193"/>
        <v>0.5537967682592021</v>
      </c>
      <c r="AB254" s="10">
        <f t="shared" si="193"/>
        <v>0.60552503782187483</v>
      </c>
      <c r="AC254" s="10">
        <f t="shared" si="193"/>
        <v>0.65725330738454757</v>
      </c>
      <c r="AD254" s="10">
        <f t="shared" si="193"/>
        <v>0.7089815769472203</v>
      </c>
      <c r="AE254" s="10">
        <f t="shared" si="193"/>
        <v>0.76070984650989304</v>
      </c>
      <c r="AF254" s="10">
        <f t="shared" si="193"/>
        <v>0.84590934931900108</v>
      </c>
      <c r="AG254" s="10">
        <f t="shared" si="193"/>
        <v>0.93110885212810923</v>
      </c>
      <c r="AH254" s="10">
        <f t="shared" si="193"/>
        <v>1.0163083549372172</v>
      </c>
      <c r="AI254" s="10">
        <f t="shared" si="193"/>
        <v>1.1015078577463251</v>
      </c>
      <c r="AJ254" s="10">
        <f t="shared" si="193"/>
        <v>1.1867073605554332</v>
      </c>
      <c r="AK254" s="10">
        <f t="shared" si="193"/>
        <v>1.2688640239785016</v>
      </c>
      <c r="AL254" s="10">
        <f t="shared" si="193"/>
        <v>1.35102068740157</v>
      </c>
      <c r="AM254" s="10">
        <f t="shared" si="193"/>
        <v>1.4331773508246386</v>
      </c>
      <c r="AN254" s="10">
        <f t="shared" si="193"/>
        <v>1.515334014247707</v>
      </c>
      <c r="AO254" s="10">
        <f t="shared" si="193"/>
        <v>1.5974906776707753</v>
      </c>
      <c r="AP254" s="10">
        <f t="shared" si="193"/>
        <v>1.6796473410938437</v>
      </c>
      <c r="AQ254" s="10">
        <f t="shared" si="193"/>
        <v>1.7618040045169123</v>
      </c>
      <c r="AR254" s="10">
        <f t="shared" si="193"/>
        <v>1.8439606679399809</v>
      </c>
      <c r="AS254" s="10">
        <f t="shared" si="193"/>
        <v>1.9261173313630493</v>
      </c>
      <c r="AT254" s="10">
        <f t="shared" si="193"/>
        <v>2.0082739947861179</v>
      </c>
      <c r="AU254" s="10">
        <f t="shared" si="193"/>
        <v>2.0934734975952258</v>
      </c>
      <c r="AV254" s="10">
        <f t="shared" si="193"/>
        <v>2.1786730004043338</v>
      </c>
      <c r="AW254" s="10">
        <f t="shared" si="193"/>
        <v>2.2638725032134421</v>
      </c>
      <c r="AX254" s="10">
        <f t="shared" si="193"/>
        <v>2.3490720060225496</v>
      </c>
      <c r="AY254" s="10">
        <f t="shared" si="193"/>
        <v>2.434271508831658</v>
      </c>
      <c r="AZ254" s="10">
        <f t="shared" si="193"/>
        <v>2.434271508831658</v>
      </c>
      <c r="BA254" s="10">
        <f t="shared" si="193"/>
        <v>2.434271508831658</v>
      </c>
      <c r="BB254" s="10">
        <f t="shared" si="193"/>
        <v>2.434271508831658</v>
      </c>
      <c r="BC254" s="10">
        <f t="shared" si="193"/>
        <v>2.434271508831658</v>
      </c>
      <c r="BD254" s="10">
        <f t="shared" si="193"/>
        <v>2.434271508831658</v>
      </c>
      <c r="BE254" s="10">
        <f t="shared" si="193"/>
        <v>2.434271508831658</v>
      </c>
      <c r="BF254" s="10">
        <f t="shared" si="193"/>
        <v>2.434271508831658</v>
      </c>
      <c r="BG254" s="10">
        <f t="shared" si="193"/>
        <v>2.434271508831658</v>
      </c>
      <c r="BH254" s="10">
        <f t="shared" si="193"/>
        <v>2.434271508831658</v>
      </c>
      <c r="BI254" s="10">
        <f t="shared" si="193"/>
        <v>2.434271508831658</v>
      </c>
    </row>
    <row r="255" spans="1:61"/>
  </sheetData>
  <mergeCells count="35">
    <mergeCell ref="A251:A252"/>
    <mergeCell ref="A235:A236"/>
    <mergeCell ref="A97:A98"/>
    <mergeCell ref="S41:U41"/>
    <mergeCell ref="AA39:AH40"/>
    <mergeCell ref="S40:U40"/>
    <mergeCell ref="W40:Y40"/>
    <mergeCell ref="W41:Y41"/>
    <mergeCell ref="A213:A214"/>
    <mergeCell ref="P213:P214"/>
    <mergeCell ref="S39:U39"/>
    <mergeCell ref="W39:Y39"/>
    <mergeCell ref="Q213:Q214"/>
    <mergeCell ref="A114:A115"/>
    <mergeCell ref="A111:V113"/>
    <mergeCell ref="A109:V110"/>
    <mergeCell ref="A36:V38"/>
    <mergeCell ref="A18:V19"/>
    <mergeCell ref="A20:V21"/>
    <mergeCell ref="A26:V27"/>
    <mergeCell ref="A28:V29"/>
    <mergeCell ref="S228:Z229"/>
    <mergeCell ref="A137:V138"/>
    <mergeCell ref="A197:V198"/>
    <mergeCell ref="A211:V212"/>
    <mergeCell ref="A61:V62"/>
    <mergeCell ref="A63:V64"/>
    <mergeCell ref="A67:V68"/>
    <mergeCell ref="A69:V70"/>
    <mergeCell ref="S77:Z78"/>
    <mergeCell ref="A233:V234"/>
    <mergeCell ref="A231:V232"/>
    <mergeCell ref="A243:V244"/>
    <mergeCell ref="A247:V250"/>
    <mergeCell ref="A245:V246"/>
  </mergeCells>
  <conditionalFormatting sqref="T43:T56">
    <cfRule type="colorScale" priority="4">
      <colorScale>
        <cfvo type="min"/>
        <cfvo type="percentile" val="50"/>
        <cfvo type="max"/>
        <color rgb="FF63BE7B"/>
        <color rgb="FFFFEB84"/>
        <color rgb="FFF8696B"/>
      </colorScale>
    </cfRule>
  </conditionalFormatting>
  <conditionalFormatting sqref="U43:U56">
    <cfRule type="colorScale" priority="3">
      <colorScale>
        <cfvo type="min"/>
        <cfvo type="percentile" val="50"/>
        <cfvo type="max"/>
        <color rgb="FF63BE7B"/>
        <color rgb="FFFFEB84"/>
        <color rgb="FFF8696B"/>
      </colorScale>
    </cfRule>
  </conditionalFormatting>
  <conditionalFormatting sqref="X43:X56">
    <cfRule type="colorScale" priority="2">
      <colorScale>
        <cfvo type="min"/>
        <cfvo type="percentile" val="50"/>
        <cfvo type="max"/>
        <color rgb="FF63BE7B"/>
        <color rgb="FFFFEB84"/>
        <color rgb="FFF8696B"/>
      </colorScale>
    </cfRule>
  </conditionalFormatting>
  <conditionalFormatting sqref="Y43:Y56">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183"/>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0" defaultRowHeight="15" zeroHeight="1" outlineLevelRow="1" outlineLevelCol="1"/>
  <cols>
    <col min="1" max="1" width="30.7109375" customWidth="1"/>
    <col min="2" max="2" width="9.140625" customWidth="1"/>
    <col min="3" max="15" width="1.7109375" hidden="1" customWidth="1" outlineLevel="1"/>
    <col min="16" max="16" width="9.140625" customWidth="1" collapsed="1"/>
    <col min="17" max="17" width="10" bestFit="1" customWidth="1"/>
    <col min="18" max="62" width="9.140625" customWidth="1"/>
    <col min="63" max="16384" width="9.140625" hidden="1"/>
  </cols>
  <sheetData>
    <row r="1" spans="1:61" ht="21">
      <c r="A1" s="4" t="s">
        <v>30</v>
      </c>
      <c r="B1" s="5"/>
      <c r="C1" s="88"/>
      <c r="D1" s="88"/>
      <c r="E1" s="88"/>
      <c r="F1" s="88"/>
      <c r="G1" s="88"/>
      <c r="H1" s="88"/>
      <c r="I1" s="88"/>
      <c r="J1" s="88"/>
      <c r="K1" s="88"/>
      <c r="L1" s="5"/>
      <c r="M1" s="88"/>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row>
    <row r="2" spans="1:61">
      <c r="A2" t="str">
        <f>Indeksacja!$A$2</f>
        <v>Dla roku bazowego 2024 właściwe do zastosowania w analizie są wartości kosztów jednostkowych określone według poziomu cenowego z końca roku poprzedniego, tzn. 2023.</v>
      </c>
    </row>
    <row r="3" spans="1:61"/>
    <row r="4" spans="1:61">
      <c r="A4" s="1" t="str">
        <f>'Zmiany klimatu (GHG) samochody'!A96</f>
        <v xml:space="preserve">Koszt jednostkowy emisji gazów cieplarnianych [PLN/t CO2e] – indeksacja w czasie (ceny realne od 2024 r.) </v>
      </c>
      <c r="P4" s="14"/>
      <c r="Q4" s="14"/>
    </row>
    <row r="5" spans="1:61" s="515" customFormat="1" ht="15" customHeight="1">
      <c r="A5" s="757" t="s">
        <v>1</v>
      </c>
      <c r="B5" s="663" t="s">
        <v>309</v>
      </c>
      <c r="C5" s="649"/>
      <c r="D5" s="649"/>
      <c r="E5" s="649"/>
      <c r="F5" s="649"/>
      <c r="G5" s="649"/>
      <c r="H5" s="649"/>
      <c r="I5" s="649"/>
      <c r="J5" s="649"/>
      <c r="K5" s="649"/>
      <c r="L5" s="649"/>
      <c r="M5" s="649"/>
      <c r="N5" s="649"/>
      <c r="O5" s="649"/>
      <c r="P5" s="652"/>
      <c r="Q5" s="6"/>
      <c r="R5" s="6"/>
      <c r="S5" s="6"/>
      <c r="T5" s="6">
        <v>2020</v>
      </c>
      <c r="U5" s="6">
        <f>T5+1</f>
        <v>2021</v>
      </c>
      <c r="V5" s="6">
        <f t="shared" ref="V5:BI5" si="0">U5+1</f>
        <v>2022</v>
      </c>
      <c r="W5" s="6">
        <f t="shared" si="0"/>
        <v>2023</v>
      </c>
      <c r="X5" s="6">
        <f t="shared" si="0"/>
        <v>2024</v>
      </c>
      <c r="Y5" s="6">
        <f t="shared" si="0"/>
        <v>2025</v>
      </c>
      <c r="Z5" s="6">
        <f t="shared" si="0"/>
        <v>2026</v>
      </c>
      <c r="AA5" s="6">
        <f t="shared" si="0"/>
        <v>2027</v>
      </c>
      <c r="AB5" s="6">
        <f t="shared" si="0"/>
        <v>2028</v>
      </c>
      <c r="AC5" s="6">
        <f t="shared" si="0"/>
        <v>2029</v>
      </c>
      <c r="AD5" s="6">
        <f t="shared" si="0"/>
        <v>2030</v>
      </c>
      <c r="AE5" s="6">
        <f t="shared" si="0"/>
        <v>2031</v>
      </c>
      <c r="AF5" s="6">
        <f t="shared" si="0"/>
        <v>2032</v>
      </c>
      <c r="AG5" s="6">
        <f t="shared" si="0"/>
        <v>2033</v>
      </c>
      <c r="AH5" s="6">
        <f t="shared" si="0"/>
        <v>2034</v>
      </c>
      <c r="AI5" s="6">
        <f t="shared" si="0"/>
        <v>2035</v>
      </c>
      <c r="AJ5" s="6">
        <f t="shared" si="0"/>
        <v>2036</v>
      </c>
      <c r="AK5" s="6">
        <f t="shared" si="0"/>
        <v>2037</v>
      </c>
      <c r="AL5" s="6">
        <f t="shared" si="0"/>
        <v>2038</v>
      </c>
      <c r="AM5" s="6">
        <f t="shared" si="0"/>
        <v>2039</v>
      </c>
      <c r="AN5" s="6">
        <f t="shared" si="0"/>
        <v>2040</v>
      </c>
      <c r="AO5" s="6">
        <f t="shared" si="0"/>
        <v>2041</v>
      </c>
      <c r="AP5" s="6">
        <f t="shared" si="0"/>
        <v>2042</v>
      </c>
      <c r="AQ5" s="6">
        <f t="shared" si="0"/>
        <v>2043</v>
      </c>
      <c r="AR5" s="6">
        <f t="shared" si="0"/>
        <v>2044</v>
      </c>
      <c r="AS5" s="6">
        <f t="shared" si="0"/>
        <v>2045</v>
      </c>
      <c r="AT5" s="6">
        <f t="shared" si="0"/>
        <v>2046</v>
      </c>
      <c r="AU5" s="6">
        <f t="shared" si="0"/>
        <v>2047</v>
      </c>
      <c r="AV5" s="6">
        <f t="shared" si="0"/>
        <v>2048</v>
      </c>
      <c r="AW5" s="6">
        <f t="shared" si="0"/>
        <v>2049</v>
      </c>
      <c r="AX5" s="6">
        <f t="shared" si="0"/>
        <v>2050</v>
      </c>
      <c r="AY5" s="6">
        <f t="shared" si="0"/>
        <v>2051</v>
      </c>
      <c r="AZ5" s="6">
        <f t="shared" si="0"/>
        <v>2052</v>
      </c>
      <c r="BA5" s="6">
        <f t="shared" si="0"/>
        <v>2053</v>
      </c>
      <c r="BB5" s="6">
        <f t="shared" si="0"/>
        <v>2054</v>
      </c>
      <c r="BC5" s="6">
        <f t="shared" si="0"/>
        <v>2055</v>
      </c>
      <c r="BD5" s="6">
        <f t="shared" si="0"/>
        <v>2056</v>
      </c>
      <c r="BE5" s="6">
        <f t="shared" si="0"/>
        <v>2057</v>
      </c>
      <c r="BF5" s="6">
        <f t="shared" si="0"/>
        <v>2058</v>
      </c>
      <c r="BG5" s="6">
        <f t="shared" si="0"/>
        <v>2059</v>
      </c>
      <c r="BH5" s="6">
        <f t="shared" si="0"/>
        <v>2060</v>
      </c>
      <c r="BI5" s="6">
        <f t="shared" si="0"/>
        <v>2061</v>
      </c>
    </row>
    <row r="6" spans="1:61">
      <c r="A6" s="758"/>
      <c r="B6" s="664" t="s">
        <v>510</v>
      </c>
      <c r="C6" s="659"/>
      <c r="D6" s="659"/>
      <c r="E6" s="659"/>
      <c r="F6" s="659"/>
      <c r="G6" s="659"/>
      <c r="H6" s="659"/>
      <c r="I6" s="659"/>
      <c r="J6" s="659"/>
      <c r="K6" s="659"/>
      <c r="L6" s="659"/>
      <c r="M6" s="659"/>
      <c r="N6" s="659"/>
      <c r="O6" s="659"/>
      <c r="P6" s="665"/>
      <c r="Q6" s="661">
        <f>DATE(2016,12,31)</f>
        <v>42735</v>
      </c>
      <c r="R6" s="661">
        <f>DATE(YEAR(Q6+1),12,31)</f>
        <v>43100</v>
      </c>
      <c r="S6" s="661">
        <f t="shared" ref="S6" si="1">DATE(YEAR(R6+1),12,31)</f>
        <v>43465</v>
      </c>
      <c r="T6" s="661">
        <f>DATE(YEAR(S6+1),12,31)</f>
        <v>43830</v>
      </c>
      <c r="U6" s="661">
        <f t="shared" ref="U6:BI6" si="2">DATE(YEAR(T6+1),12,31)</f>
        <v>44196</v>
      </c>
      <c r="V6" s="661">
        <f t="shared" si="2"/>
        <v>44561</v>
      </c>
      <c r="W6" s="661">
        <f t="shared" si="2"/>
        <v>44926</v>
      </c>
      <c r="X6" s="661">
        <f t="shared" si="2"/>
        <v>45291</v>
      </c>
      <c r="Y6" s="661">
        <f t="shared" si="2"/>
        <v>45657</v>
      </c>
      <c r="Z6" s="661">
        <f t="shared" si="2"/>
        <v>46022</v>
      </c>
      <c r="AA6" s="661">
        <f t="shared" si="2"/>
        <v>46387</v>
      </c>
      <c r="AB6" s="661">
        <f t="shared" si="2"/>
        <v>46752</v>
      </c>
      <c r="AC6" s="661">
        <f t="shared" si="2"/>
        <v>47118</v>
      </c>
      <c r="AD6" s="661">
        <f t="shared" si="2"/>
        <v>47483</v>
      </c>
      <c r="AE6" s="661">
        <f t="shared" si="2"/>
        <v>47848</v>
      </c>
      <c r="AF6" s="661">
        <f t="shared" si="2"/>
        <v>48213</v>
      </c>
      <c r="AG6" s="661">
        <f t="shared" si="2"/>
        <v>48579</v>
      </c>
      <c r="AH6" s="661">
        <f t="shared" si="2"/>
        <v>48944</v>
      </c>
      <c r="AI6" s="661">
        <f t="shared" si="2"/>
        <v>49309</v>
      </c>
      <c r="AJ6" s="661">
        <f t="shared" si="2"/>
        <v>49674</v>
      </c>
      <c r="AK6" s="661">
        <f t="shared" si="2"/>
        <v>50040</v>
      </c>
      <c r="AL6" s="661">
        <f t="shared" si="2"/>
        <v>50405</v>
      </c>
      <c r="AM6" s="661">
        <f t="shared" si="2"/>
        <v>50770</v>
      </c>
      <c r="AN6" s="661">
        <f t="shared" si="2"/>
        <v>51135</v>
      </c>
      <c r="AO6" s="661">
        <f t="shared" si="2"/>
        <v>51501</v>
      </c>
      <c r="AP6" s="661">
        <f t="shared" si="2"/>
        <v>51866</v>
      </c>
      <c r="AQ6" s="661">
        <f t="shared" si="2"/>
        <v>52231</v>
      </c>
      <c r="AR6" s="661">
        <f t="shared" si="2"/>
        <v>52596</v>
      </c>
      <c r="AS6" s="661">
        <f t="shared" si="2"/>
        <v>52962</v>
      </c>
      <c r="AT6" s="661">
        <f t="shared" si="2"/>
        <v>53327</v>
      </c>
      <c r="AU6" s="661">
        <f t="shared" si="2"/>
        <v>53692</v>
      </c>
      <c r="AV6" s="661">
        <f t="shared" si="2"/>
        <v>54057</v>
      </c>
      <c r="AW6" s="661">
        <f t="shared" si="2"/>
        <v>54423</v>
      </c>
      <c r="AX6" s="661">
        <f t="shared" si="2"/>
        <v>54788</v>
      </c>
      <c r="AY6" s="661">
        <f t="shared" si="2"/>
        <v>55153</v>
      </c>
      <c r="AZ6" s="661">
        <f t="shared" si="2"/>
        <v>55518</v>
      </c>
      <c r="BA6" s="661">
        <f t="shared" si="2"/>
        <v>55884</v>
      </c>
      <c r="BB6" s="661">
        <f t="shared" si="2"/>
        <v>56249</v>
      </c>
      <c r="BC6" s="661">
        <f t="shared" si="2"/>
        <v>56614</v>
      </c>
      <c r="BD6" s="661">
        <f t="shared" si="2"/>
        <v>56979</v>
      </c>
      <c r="BE6" s="661">
        <f t="shared" si="2"/>
        <v>57345</v>
      </c>
      <c r="BF6" s="661">
        <f t="shared" si="2"/>
        <v>57710</v>
      </c>
      <c r="BG6" s="661">
        <f t="shared" si="2"/>
        <v>58075</v>
      </c>
      <c r="BH6" s="661">
        <f t="shared" si="2"/>
        <v>58440</v>
      </c>
      <c r="BI6" s="661">
        <f t="shared" si="2"/>
        <v>58806</v>
      </c>
    </row>
    <row r="7" spans="1:61" ht="33">
      <c r="A7" s="8" t="s">
        <v>669</v>
      </c>
      <c r="B7" s="3"/>
      <c r="C7" s="3"/>
      <c r="D7" s="3"/>
      <c r="E7" s="3"/>
      <c r="F7" s="3"/>
      <c r="G7" s="3"/>
      <c r="H7" s="3"/>
      <c r="I7" s="3"/>
      <c r="J7" s="3"/>
      <c r="K7" s="3"/>
      <c r="L7" s="3"/>
      <c r="M7" s="3"/>
      <c r="N7" s="3"/>
      <c r="O7" s="3"/>
      <c r="P7" s="3"/>
      <c r="Q7" s="77">
        <f>'Zmiany klimatu (GHG) samochody'!Q99</f>
        <v>80</v>
      </c>
      <c r="R7" s="101">
        <f>'Zmiany klimatu (GHG) samochody'!R99</f>
        <v>80</v>
      </c>
      <c r="S7" s="7">
        <f>'Zmiany klimatu (GHG) samochody'!S99</f>
        <v>80</v>
      </c>
      <c r="T7" s="102">
        <f>'Zmiany klimatu (GHG) samochody'!T99</f>
        <v>80</v>
      </c>
      <c r="U7" s="103">
        <f>'Zmiany klimatu (GHG) samochody'!U99</f>
        <v>80</v>
      </c>
      <c r="V7" s="101">
        <f>'Zmiany klimatu (GHG) samochody'!V99</f>
        <v>97</v>
      </c>
      <c r="W7" s="7">
        <f>'Zmiany klimatu (GHG) samochody'!W99</f>
        <v>114</v>
      </c>
      <c r="X7" s="7">
        <f>'Zmiany klimatu (GHG) samochody'!X99</f>
        <v>131</v>
      </c>
      <c r="Y7" s="7">
        <f>'Zmiany klimatu (GHG) samochody'!Y99</f>
        <v>148</v>
      </c>
      <c r="Z7" s="103">
        <f>'Zmiany klimatu (GHG) samochody'!Z99</f>
        <v>165</v>
      </c>
      <c r="AA7" s="7">
        <f>'Zmiany klimatu (GHG) samochody'!AA99</f>
        <v>182</v>
      </c>
      <c r="AB7" s="7">
        <f>'Zmiany klimatu (GHG) samochody'!AB99</f>
        <v>199</v>
      </c>
      <c r="AC7" s="7">
        <f>'Zmiany klimatu (GHG) samochody'!AC99</f>
        <v>216</v>
      </c>
      <c r="AD7" s="7">
        <f>'Zmiany klimatu (GHG) samochody'!AD99</f>
        <v>233</v>
      </c>
      <c r="AE7" s="103">
        <f>'Zmiany klimatu (GHG) samochody'!AE99</f>
        <v>250</v>
      </c>
      <c r="AF7" s="7">
        <f>'Zmiany klimatu (GHG) samochody'!AF99</f>
        <v>278</v>
      </c>
      <c r="AG7" s="7">
        <f>'Zmiany klimatu (GHG) samochody'!AG99</f>
        <v>306</v>
      </c>
      <c r="AH7" s="7">
        <f>'Zmiany klimatu (GHG) samochody'!AH99</f>
        <v>334</v>
      </c>
      <c r="AI7" s="7">
        <f>'Zmiany klimatu (GHG) samochody'!AI99</f>
        <v>362</v>
      </c>
      <c r="AJ7" s="103">
        <f>'Zmiany klimatu (GHG) samochody'!AJ99</f>
        <v>390</v>
      </c>
      <c r="AK7" s="7">
        <f>'Zmiany klimatu (GHG) samochody'!AK99</f>
        <v>417</v>
      </c>
      <c r="AL7" s="7">
        <f>'Zmiany klimatu (GHG) samochody'!AL99</f>
        <v>444</v>
      </c>
      <c r="AM7" s="7">
        <f>'Zmiany klimatu (GHG) samochody'!AM99</f>
        <v>471</v>
      </c>
      <c r="AN7" s="7">
        <f>'Zmiany klimatu (GHG) samochody'!AN99</f>
        <v>498</v>
      </c>
      <c r="AO7" s="103">
        <f>'Zmiany klimatu (GHG) samochody'!AO99</f>
        <v>525</v>
      </c>
      <c r="AP7" s="7">
        <f>'Zmiany klimatu (GHG) samochody'!AP99</f>
        <v>552</v>
      </c>
      <c r="AQ7" s="7">
        <f>'Zmiany klimatu (GHG) samochody'!AQ99</f>
        <v>579</v>
      </c>
      <c r="AR7" s="7">
        <f>'Zmiany klimatu (GHG) samochody'!AR99</f>
        <v>606</v>
      </c>
      <c r="AS7" s="7">
        <f>'Zmiany klimatu (GHG) samochody'!AS99</f>
        <v>633</v>
      </c>
      <c r="AT7" s="103">
        <f>'Zmiany klimatu (GHG) samochody'!AT99</f>
        <v>660</v>
      </c>
      <c r="AU7" s="7">
        <f>'Zmiany klimatu (GHG) samochody'!AU99</f>
        <v>688</v>
      </c>
      <c r="AV7" s="7">
        <f>'Zmiany klimatu (GHG) samochody'!AV99</f>
        <v>716</v>
      </c>
      <c r="AW7" s="7">
        <f>'Zmiany klimatu (GHG) samochody'!AW99</f>
        <v>744</v>
      </c>
      <c r="AX7" s="7">
        <f>'Zmiany klimatu (GHG) samochody'!AX99</f>
        <v>772</v>
      </c>
      <c r="AY7" s="103">
        <f>'Zmiany klimatu (GHG) samochody'!AY99</f>
        <v>800</v>
      </c>
      <c r="AZ7" s="7">
        <f>'Zmiany klimatu (GHG) samochody'!AZ99</f>
        <v>800</v>
      </c>
      <c r="BA7" s="7">
        <f>'Zmiany klimatu (GHG) samochody'!BA99</f>
        <v>800</v>
      </c>
      <c r="BB7" s="7">
        <f>'Zmiany klimatu (GHG) samochody'!BB99</f>
        <v>800</v>
      </c>
      <c r="BC7" s="7">
        <f>'Zmiany klimatu (GHG) samochody'!BC99</f>
        <v>800</v>
      </c>
      <c r="BD7" s="7">
        <f>'Zmiany klimatu (GHG) samochody'!BD99</f>
        <v>800</v>
      </c>
      <c r="BE7" s="7">
        <f>'Zmiany klimatu (GHG) samochody'!BE99</f>
        <v>800</v>
      </c>
      <c r="BF7" s="7">
        <f>'Zmiany klimatu (GHG) samochody'!BF99</f>
        <v>800</v>
      </c>
      <c r="BG7" s="7">
        <f>'Zmiany klimatu (GHG) samochody'!BG99</f>
        <v>800</v>
      </c>
      <c r="BH7" s="7">
        <f>'Zmiany klimatu (GHG) samochody'!BH99</f>
        <v>800</v>
      </c>
      <c r="BI7" s="7">
        <f>'Zmiany klimatu (GHG) samochody'!BI99</f>
        <v>800</v>
      </c>
    </row>
    <row r="8" spans="1:61">
      <c r="A8" s="15" t="s">
        <v>670</v>
      </c>
      <c r="B8" s="16"/>
      <c r="C8" s="16"/>
      <c r="D8" s="16"/>
      <c r="E8" s="16"/>
      <c r="F8" s="16"/>
      <c r="G8" s="16"/>
      <c r="H8" s="16"/>
      <c r="I8" s="16"/>
      <c r="J8" s="16"/>
      <c r="K8" s="16"/>
      <c r="L8" s="16"/>
      <c r="M8" s="16"/>
      <c r="N8" s="16"/>
      <c r="O8" s="16"/>
      <c r="P8" s="16"/>
      <c r="Q8" s="18"/>
      <c r="R8" s="17">
        <f t="shared" ref="R8:BI8" si="3">R7-Q7</f>
        <v>0</v>
      </c>
      <c r="S8" s="17">
        <f t="shared" si="3"/>
        <v>0</v>
      </c>
      <c r="T8" s="17">
        <f t="shared" si="3"/>
        <v>0</v>
      </c>
      <c r="U8" s="17">
        <f t="shared" si="3"/>
        <v>0</v>
      </c>
      <c r="V8" s="17">
        <f t="shared" si="3"/>
        <v>17</v>
      </c>
      <c r="W8" s="17">
        <f t="shared" si="3"/>
        <v>17</v>
      </c>
      <c r="X8" s="17">
        <f t="shared" si="3"/>
        <v>17</v>
      </c>
      <c r="Y8" s="17">
        <f t="shared" si="3"/>
        <v>17</v>
      </c>
      <c r="Z8" s="17">
        <f t="shared" si="3"/>
        <v>17</v>
      </c>
      <c r="AA8" s="17">
        <f t="shared" si="3"/>
        <v>17</v>
      </c>
      <c r="AB8" s="17">
        <f t="shared" si="3"/>
        <v>17</v>
      </c>
      <c r="AC8" s="17">
        <f t="shared" si="3"/>
        <v>17</v>
      </c>
      <c r="AD8" s="17">
        <f t="shared" si="3"/>
        <v>17</v>
      </c>
      <c r="AE8" s="17">
        <f t="shared" si="3"/>
        <v>17</v>
      </c>
      <c r="AF8" s="17">
        <f t="shared" si="3"/>
        <v>28</v>
      </c>
      <c r="AG8" s="17">
        <f t="shared" si="3"/>
        <v>28</v>
      </c>
      <c r="AH8" s="17">
        <f t="shared" si="3"/>
        <v>28</v>
      </c>
      <c r="AI8" s="17">
        <f t="shared" si="3"/>
        <v>28</v>
      </c>
      <c r="AJ8" s="17">
        <f t="shared" si="3"/>
        <v>28</v>
      </c>
      <c r="AK8" s="17">
        <f t="shared" si="3"/>
        <v>27</v>
      </c>
      <c r="AL8" s="17">
        <f t="shared" si="3"/>
        <v>27</v>
      </c>
      <c r="AM8" s="17">
        <f t="shared" si="3"/>
        <v>27</v>
      </c>
      <c r="AN8" s="17">
        <f t="shared" si="3"/>
        <v>27</v>
      </c>
      <c r="AO8" s="17">
        <f t="shared" si="3"/>
        <v>27</v>
      </c>
      <c r="AP8" s="17">
        <f t="shared" si="3"/>
        <v>27</v>
      </c>
      <c r="AQ8" s="17">
        <f t="shared" si="3"/>
        <v>27</v>
      </c>
      <c r="AR8" s="17">
        <f t="shared" si="3"/>
        <v>27</v>
      </c>
      <c r="AS8" s="17">
        <f t="shared" si="3"/>
        <v>27</v>
      </c>
      <c r="AT8" s="17">
        <f t="shared" si="3"/>
        <v>27</v>
      </c>
      <c r="AU8" s="17">
        <f t="shared" si="3"/>
        <v>28</v>
      </c>
      <c r="AV8" s="17">
        <f t="shared" si="3"/>
        <v>28</v>
      </c>
      <c r="AW8" s="17">
        <f t="shared" si="3"/>
        <v>28</v>
      </c>
      <c r="AX8" s="17">
        <f t="shared" si="3"/>
        <v>28</v>
      </c>
      <c r="AY8" s="17">
        <f t="shared" si="3"/>
        <v>28</v>
      </c>
      <c r="AZ8" s="17">
        <f t="shared" si="3"/>
        <v>0</v>
      </c>
      <c r="BA8" s="17">
        <f t="shared" si="3"/>
        <v>0</v>
      </c>
      <c r="BB8" s="17">
        <f t="shared" si="3"/>
        <v>0</v>
      </c>
      <c r="BC8" s="17">
        <f t="shared" si="3"/>
        <v>0</v>
      </c>
      <c r="BD8" s="17">
        <f t="shared" si="3"/>
        <v>0</v>
      </c>
      <c r="BE8" s="17">
        <f t="shared" si="3"/>
        <v>0</v>
      </c>
      <c r="BF8" s="17">
        <f t="shared" si="3"/>
        <v>0</v>
      </c>
      <c r="BG8" s="17">
        <f t="shared" si="3"/>
        <v>0</v>
      </c>
      <c r="BH8" s="17">
        <f t="shared" si="3"/>
        <v>0</v>
      </c>
      <c r="BI8" s="17">
        <f t="shared" si="3"/>
        <v>0</v>
      </c>
    </row>
    <row r="9" spans="1:61" ht="48">
      <c r="A9" s="8" t="s">
        <v>865</v>
      </c>
      <c r="B9" s="3"/>
      <c r="C9" s="3"/>
      <c r="D9" s="3"/>
      <c r="E9" s="3"/>
      <c r="F9" s="3"/>
      <c r="G9" s="3"/>
      <c r="H9" s="3"/>
      <c r="I9" s="3"/>
      <c r="J9" s="3"/>
      <c r="K9" s="3"/>
      <c r="L9" s="3"/>
      <c r="M9" s="3"/>
      <c r="N9" s="3"/>
      <c r="O9" s="3"/>
      <c r="P9" s="3"/>
      <c r="Q9" s="7">
        <f>'Zmiany klimatu (GHG) samochody'!Q101</f>
        <v>349.05599999999998</v>
      </c>
      <c r="R9" s="7">
        <f>'Zmiany klimatu (GHG) samochody'!R101</f>
        <v>356.03712000000002</v>
      </c>
      <c r="S9" s="7">
        <f>'Zmiany klimatu (GHG) samochody'!S101</f>
        <v>361.73371392000001</v>
      </c>
      <c r="T9" s="7">
        <f>'Zmiany klimatu (GHG) samochody'!T101</f>
        <v>370.05358934015999</v>
      </c>
      <c r="U9" s="7">
        <f>'Zmiany klimatu (GHG) samochody'!U101</f>
        <v>382.6354113777254</v>
      </c>
      <c r="V9" s="7">
        <f>'Zmiany klimatu (GHG) samochody'!V101</f>
        <v>487.60665354656209</v>
      </c>
      <c r="W9" s="7">
        <f>'Zmiany klimatu (GHG) samochody'!W101</f>
        <v>655.58463225699438</v>
      </c>
      <c r="X9" s="7">
        <f>'Zmiany klimatu (GHG) samochody'!X101</f>
        <v>839.22883968238784</v>
      </c>
      <c r="Y9" s="7">
        <f>'Zmiany klimatu (GHG) samochody'!Y101</f>
        <v>948.13639903048397</v>
      </c>
      <c r="Z9" s="7">
        <f>'Zmiany klimatu (GHG) samochody'!Z101</f>
        <v>1057.0439583785801</v>
      </c>
      <c r="AA9" s="7">
        <f>'Zmiany klimatu (GHG) samochody'!AA101</f>
        <v>1165.9515177266762</v>
      </c>
      <c r="AB9" s="7">
        <f>'Zmiany klimatu (GHG) samochody'!AB101</f>
        <v>1274.8590770747724</v>
      </c>
      <c r="AC9" s="7">
        <f>'Zmiany klimatu (GHG) samochody'!AC101</f>
        <v>1383.7666364228685</v>
      </c>
      <c r="AD9" s="7">
        <f>'Zmiany klimatu (GHG) samochody'!AD101</f>
        <v>1492.6741957709646</v>
      </c>
      <c r="AE9" s="7">
        <f>'Zmiany klimatu (GHG) samochody'!AE101</f>
        <v>1601.5817551190607</v>
      </c>
      <c r="AF9" s="7">
        <f>'Zmiany klimatu (GHG) samochody'!AF101</f>
        <v>1780.9589116923955</v>
      </c>
      <c r="AG9" s="7">
        <f>'Zmiany klimatu (GHG) samochody'!AG101</f>
        <v>1960.3360682657305</v>
      </c>
      <c r="AH9" s="7">
        <f>'Zmiany klimatu (GHG) samochody'!AH101</f>
        <v>2139.7132248390653</v>
      </c>
      <c r="AI9" s="7">
        <f>'Zmiany klimatu (GHG) samochody'!AI101</f>
        <v>2319.0903814123999</v>
      </c>
      <c r="AJ9" s="7">
        <f>'Zmiany klimatu (GHG) samochody'!AJ101</f>
        <v>2498.4675379857349</v>
      </c>
      <c r="AK9" s="7">
        <f>'Zmiany klimatu (GHG) samochody'!AK101</f>
        <v>2671.4383675385934</v>
      </c>
      <c r="AL9" s="7">
        <f>'Zmiany klimatu (GHG) samochody'!AL101</f>
        <v>2844.4091970914519</v>
      </c>
      <c r="AM9" s="7">
        <f>'Zmiany klimatu (GHG) samochody'!AM101</f>
        <v>3017.3800266443104</v>
      </c>
      <c r="AN9" s="7">
        <f>'Zmiany klimatu (GHG) samochody'!AN101</f>
        <v>3190.3508561971689</v>
      </c>
      <c r="AO9" s="7">
        <f>'Zmiany klimatu (GHG) samochody'!AO101</f>
        <v>3363.3216857500274</v>
      </c>
      <c r="AP9" s="7">
        <f>'Zmiany klimatu (GHG) samochody'!AP101</f>
        <v>3536.2925153028859</v>
      </c>
      <c r="AQ9" s="7">
        <f>'Zmiany klimatu (GHG) samochody'!AQ101</f>
        <v>3709.2633448557449</v>
      </c>
      <c r="AR9" s="7">
        <f>'Zmiany klimatu (GHG) samochody'!AR101</f>
        <v>3882.2341744086034</v>
      </c>
      <c r="AS9" s="7">
        <f>'Zmiany klimatu (GHG) samochody'!AS101</f>
        <v>4055.2050039614619</v>
      </c>
      <c r="AT9" s="7">
        <f>'Zmiany klimatu (GHG) samochody'!AT101</f>
        <v>4228.1758335143204</v>
      </c>
      <c r="AU9" s="7">
        <f>'Zmiany klimatu (GHG) samochody'!AU101</f>
        <v>4407.5529900876554</v>
      </c>
      <c r="AV9" s="7">
        <f>'Zmiany klimatu (GHG) samochody'!AV101</f>
        <v>4586.9301466609904</v>
      </c>
      <c r="AW9" s="7">
        <f>'Zmiany klimatu (GHG) samochody'!AW101</f>
        <v>4766.3073032343254</v>
      </c>
      <c r="AX9" s="7">
        <f>'Zmiany klimatu (GHG) samochody'!AX101</f>
        <v>4945.6844598076596</v>
      </c>
      <c r="AY9" s="7">
        <f>'Zmiany klimatu (GHG) samochody'!AY101</f>
        <v>5125.0616163809946</v>
      </c>
      <c r="AZ9" s="7">
        <f>'Zmiany klimatu (GHG) samochody'!AZ101</f>
        <v>5125.0616163809946</v>
      </c>
      <c r="BA9" s="7">
        <f>'Zmiany klimatu (GHG) samochody'!BA101</f>
        <v>5125.0616163809946</v>
      </c>
      <c r="BB9" s="7">
        <f>'Zmiany klimatu (GHG) samochody'!BB101</f>
        <v>5125.0616163809946</v>
      </c>
      <c r="BC9" s="7">
        <f>'Zmiany klimatu (GHG) samochody'!BC101</f>
        <v>5125.0616163809946</v>
      </c>
      <c r="BD9" s="7">
        <f>'Zmiany klimatu (GHG) samochody'!BD101</f>
        <v>5125.0616163809946</v>
      </c>
      <c r="BE9" s="7">
        <f>'Zmiany klimatu (GHG) samochody'!BE101</f>
        <v>5125.0616163809946</v>
      </c>
      <c r="BF9" s="7">
        <f>'Zmiany klimatu (GHG) samochody'!BF101</f>
        <v>5125.0616163809946</v>
      </c>
      <c r="BG9" s="7">
        <f>'Zmiany klimatu (GHG) samochody'!BG101</f>
        <v>5125.0616163809946</v>
      </c>
      <c r="BH9" s="7">
        <f>'Zmiany klimatu (GHG) samochody'!BH101</f>
        <v>5125.0616163809946</v>
      </c>
      <c r="BI9" s="7">
        <f>'Zmiany klimatu (GHG) samochody'!BI101</f>
        <v>5125.0616163809946</v>
      </c>
    </row>
    <row r="10" spans="1:61" ht="18">
      <c r="A10" s="35" t="s">
        <v>671</v>
      </c>
    </row>
    <row r="11" spans="1:61" s="592" customFormat="1">
      <c r="A11" s="35"/>
    </row>
    <row r="12" spans="1:61" s="592" customFormat="1">
      <c r="A12" s="35"/>
    </row>
    <row r="13" spans="1:61" s="592" customFormat="1" ht="18">
      <c r="A13" s="113" t="s">
        <v>672</v>
      </c>
      <c r="B13" s="113"/>
      <c r="C13" s="113"/>
      <c r="D13" s="113"/>
      <c r="E13" s="113"/>
      <c r="F13" s="113"/>
      <c r="G13" s="113"/>
      <c r="H13" s="113"/>
      <c r="I13" s="113"/>
      <c r="J13" s="113"/>
      <c r="K13" s="113"/>
      <c r="L13" s="113"/>
      <c r="M13" s="113"/>
      <c r="N13" s="113"/>
      <c r="O13" s="113"/>
      <c r="P13" s="113"/>
      <c r="Q13" s="113"/>
    </row>
    <row r="14" spans="1:61" hidden="1" outlineLevel="1"/>
    <row r="15" spans="1:61" s="668" customFormat="1" hidden="1" outlineLevel="1"/>
    <row r="16" spans="1:61" s="668" customFormat="1" hidden="1" outlineLevel="1"/>
    <row r="17" spans="1:22" s="668" customFormat="1" hidden="1" outlineLevel="1"/>
    <row r="18" spans="1:22" s="668" customFormat="1" hidden="1" outlineLevel="1"/>
    <row r="19" spans="1:22" s="668" customFormat="1" hidden="1" outlineLevel="1"/>
    <row r="20" spans="1:22" s="668" customFormat="1" hidden="1" outlineLevel="1"/>
    <row r="21" spans="1:22" s="668" customFormat="1" hidden="1" outlineLevel="1"/>
    <row r="22" spans="1:22" s="668" customFormat="1" hidden="1" outlineLevel="1"/>
    <row r="23" spans="1:22" s="668" customFormat="1" hidden="1" outlineLevel="1"/>
    <row r="24" spans="1:22" s="668" customFormat="1" hidden="1" outlineLevel="1"/>
    <row r="25" spans="1:22" s="668" customFormat="1" hidden="1" outlineLevel="1"/>
    <row r="26" spans="1:22" s="668" customFormat="1" hidden="1" outlineLevel="1"/>
    <row r="27" spans="1:22" s="668" customFormat="1" hidden="1" outlineLevel="1"/>
    <row r="28" spans="1:22" hidden="1" outlineLevel="1">
      <c r="A28" s="187" t="str">
        <f>'Zmiany klimatu (GHG) samochody'!$A$135</f>
        <v>Krajowe wskaźniki emisyjności sieciowej energii elektrycznej</v>
      </c>
      <c r="B28" s="176"/>
      <c r="C28" s="176"/>
      <c r="D28" s="176"/>
      <c r="E28" s="176"/>
      <c r="F28" s="176"/>
      <c r="G28" s="176"/>
      <c r="H28" s="176"/>
      <c r="I28" s="176"/>
      <c r="J28" s="176"/>
      <c r="K28" s="176"/>
      <c r="L28" s="176"/>
      <c r="M28" s="176"/>
      <c r="N28" s="176"/>
      <c r="O28" s="176"/>
      <c r="P28" s="176"/>
    </row>
    <row r="29" spans="1:22" hidden="1" outlineLevel="1">
      <c r="A29" s="176" t="str">
        <f>'Zmiany klimatu (GHG) samochody'!$A$136</f>
        <v>Wskaźniki emisyjności w g CO2/kWh (=kg CO2/MWh, =tony CO2/GWh)</v>
      </c>
      <c r="B29" s="176"/>
      <c r="C29" s="176"/>
      <c r="D29" s="176"/>
      <c r="E29" s="176"/>
      <c r="F29" s="176"/>
      <c r="G29" s="176"/>
      <c r="H29" s="176"/>
      <c r="I29" s="176"/>
      <c r="J29" s="176"/>
      <c r="K29" s="176"/>
      <c r="L29" s="176"/>
      <c r="M29" s="176"/>
      <c r="N29" s="176"/>
      <c r="O29" s="176"/>
      <c r="P29" s="176"/>
    </row>
    <row r="30" spans="1:22" hidden="1" outlineLevel="1">
      <c r="A30" s="810" t="str">
        <f>'Zmiany klimatu (GHG) samochody'!$A$137</f>
        <v>Wpływ gazów cieplarnianych innych niż CO2 jest pomijalny. W związku z tym dla potrzeb obliczeń podane wskaźniki emisyjności można traktować jako dotyczące ekwiwalentu CO2.</v>
      </c>
      <c r="B30" s="810"/>
      <c r="C30" s="810"/>
      <c r="D30" s="810"/>
      <c r="E30" s="810"/>
      <c r="F30" s="810"/>
      <c r="G30" s="810"/>
      <c r="H30" s="810"/>
      <c r="I30" s="810"/>
      <c r="J30" s="810"/>
      <c r="K30" s="810"/>
      <c r="L30" s="810"/>
      <c r="M30" s="810"/>
      <c r="N30" s="810"/>
      <c r="O30" s="810"/>
      <c r="P30" s="810"/>
      <c r="Q30" s="810"/>
      <c r="R30" s="810"/>
      <c r="S30" s="810"/>
      <c r="T30" s="810"/>
      <c r="U30" s="810"/>
      <c r="V30" s="810"/>
    </row>
    <row r="31" spans="1:22" s="672" customFormat="1" hidden="1" outlineLevel="1">
      <c r="A31" s="810"/>
      <c r="B31" s="810"/>
      <c r="C31" s="810"/>
      <c r="D31" s="810"/>
      <c r="E31" s="810"/>
      <c r="F31" s="810"/>
      <c r="G31" s="810"/>
      <c r="H31" s="810"/>
      <c r="I31" s="810"/>
      <c r="J31" s="810"/>
      <c r="K31" s="810"/>
      <c r="L31" s="810"/>
      <c r="M31" s="810"/>
      <c r="N31" s="810"/>
      <c r="O31" s="810"/>
      <c r="P31" s="810"/>
      <c r="Q31" s="810"/>
      <c r="R31" s="810"/>
      <c r="S31" s="810"/>
      <c r="T31" s="810"/>
      <c r="U31" s="810"/>
      <c r="V31" s="810"/>
    </row>
    <row r="32" spans="1:22" hidden="1" outlineLevel="1"/>
    <row r="33" spans="1:61" s="581" customFormat="1" hidden="1" outlineLevel="1">
      <c r="A33" s="187" t="str">
        <f>'Zmiany klimatu (GHG) samochody'!$A$176</f>
        <v>Wskaźniki emisji CO2 w [g/kWh] dla odbiorców końcowych sieciowej energii elektrycznej</v>
      </c>
      <c r="B33" s="176"/>
      <c r="C33" s="176"/>
      <c r="D33" s="176"/>
      <c r="E33" s="176"/>
      <c r="F33" s="176"/>
      <c r="G33" s="176"/>
      <c r="H33" s="176"/>
      <c r="I33" s="176"/>
      <c r="J33" s="176"/>
      <c r="K33" s="176"/>
      <c r="L33" s="176"/>
      <c r="M33" s="176"/>
      <c r="N33" s="176"/>
      <c r="O33" s="176"/>
      <c r="P33" s="176"/>
      <c r="Q33" s="176"/>
    </row>
    <row r="34" spans="1:61" s="581" customFormat="1" hidden="1" outlineLevel="1">
      <c r="A34" s="588"/>
      <c r="B34" s="589"/>
      <c r="C34" s="589"/>
      <c r="D34" s="589"/>
      <c r="E34" s="589"/>
      <c r="F34" s="589"/>
      <c r="G34" s="589"/>
      <c r="H34" s="589"/>
      <c r="I34" s="589"/>
      <c r="J34" s="589"/>
      <c r="K34" s="589"/>
      <c r="L34" s="589"/>
      <c r="M34" s="589"/>
      <c r="N34" s="589"/>
      <c r="O34" s="589"/>
      <c r="P34" s="588"/>
      <c r="Q34" s="588"/>
      <c r="R34" s="588"/>
      <c r="S34" s="588">
        <v>2019</v>
      </c>
      <c r="T34" s="588">
        <f>S34+1</f>
        <v>2020</v>
      </c>
      <c r="U34" s="588">
        <f t="shared" ref="U34:BI34" si="4">T34+1</f>
        <v>2021</v>
      </c>
      <c r="V34" s="588">
        <f t="shared" si="4"/>
        <v>2022</v>
      </c>
      <c r="W34" s="588">
        <f t="shared" si="4"/>
        <v>2023</v>
      </c>
      <c r="X34" s="588">
        <f t="shared" si="4"/>
        <v>2024</v>
      </c>
      <c r="Y34" s="588">
        <f t="shared" si="4"/>
        <v>2025</v>
      </c>
      <c r="Z34" s="588">
        <f t="shared" si="4"/>
        <v>2026</v>
      </c>
      <c r="AA34" s="588">
        <f t="shared" si="4"/>
        <v>2027</v>
      </c>
      <c r="AB34" s="588">
        <f t="shared" si="4"/>
        <v>2028</v>
      </c>
      <c r="AC34" s="588">
        <f t="shared" si="4"/>
        <v>2029</v>
      </c>
      <c r="AD34" s="588">
        <f t="shared" si="4"/>
        <v>2030</v>
      </c>
      <c r="AE34" s="588">
        <f t="shared" si="4"/>
        <v>2031</v>
      </c>
      <c r="AF34" s="588">
        <f t="shared" si="4"/>
        <v>2032</v>
      </c>
      <c r="AG34" s="588">
        <f t="shared" si="4"/>
        <v>2033</v>
      </c>
      <c r="AH34" s="588">
        <f t="shared" si="4"/>
        <v>2034</v>
      </c>
      <c r="AI34" s="588">
        <f t="shared" si="4"/>
        <v>2035</v>
      </c>
      <c r="AJ34" s="588">
        <f t="shared" si="4"/>
        <v>2036</v>
      </c>
      <c r="AK34" s="588">
        <f t="shared" si="4"/>
        <v>2037</v>
      </c>
      <c r="AL34" s="588">
        <f t="shared" si="4"/>
        <v>2038</v>
      </c>
      <c r="AM34" s="588">
        <f t="shared" si="4"/>
        <v>2039</v>
      </c>
      <c r="AN34" s="588">
        <f t="shared" si="4"/>
        <v>2040</v>
      </c>
      <c r="AO34" s="588">
        <f t="shared" si="4"/>
        <v>2041</v>
      </c>
      <c r="AP34" s="588">
        <f t="shared" si="4"/>
        <v>2042</v>
      </c>
      <c r="AQ34" s="588">
        <f t="shared" si="4"/>
        <v>2043</v>
      </c>
      <c r="AR34" s="588">
        <f t="shared" si="4"/>
        <v>2044</v>
      </c>
      <c r="AS34" s="588">
        <f t="shared" si="4"/>
        <v>2045</v>
      </c>
      <c r="AT34" s="588">
        <f t="shared" si="4"/>
        <v>2046</v>
      </c>
      <c r="AU34" s="588">
        <f t="shared" si="4"/>
        <v>2047</v>
      </c>
      <c r="AV34" s="588">
        <f t="shared" si="4"/>
        <v>2048</v>
      </c>
      <c r="AW34" s="588">
        <f t="shared" si="4"/>
        <v>2049</v>
      </c>
      <c r="AX34" s="588">
        <f t="shared" si="4"/>
        <v>2050</v>
      </c>
      <c r="AY34" s="588">
        <f t="shared" si="4"/>
        <v>2051</v>
      </c>
      <c r="AZ34" s="588">
        <f t="shared" si="4"/>
        <v>2052</v>
      </c>
      <c r="BA34" s="588">
        <f t="shared" si="4"/>
        <v>2053</v>
      </c>
      <c r="BB34" s="588">
        <f t="shared" si="4"/>
        <v>2054</v>
      </c>
      <c r="BC34" s="588">
        <f t="shared" si="4"/>
        <v>2055</v>
      </c>
      <c r="BD34" s="588">
        <f t="shared" si="4"/>
        <v>2056</v>
      </c>
      <c r="BE34" s="588">
        <f t="shared" si="4"/>
        <v>2057</v>
      </c>
      <c r="BF34" s="588">
        <f t="shared" si="4"/>
        <v>2058</v>
      </c>
      <c r="BG34" s="588">
        <f t="shared" si="4"/>
        <v>2059</v>
      </c>
      <c r="BH34" s="588">
        <f t="shared" si="4"/>
        <v>2060</v>
      </c>
      <c r="BI34" s="588">
        <f t="shared" si="4"/>
        <v>2061</v>
      </c>
    </row>
    <row r="35" spans="1:61" s="581" customFormat="1" ht="45" hidden="1" outlineLevel="1">
      <c r="A35" s="593" t="str">
        <f>'Zmiany klimatu (GHG) samochody'!$A$178</f>
        <v>Wskaźnik emisji CO2 dla odbiorców końcowych sieciowej energii elektrycznej</v>
      </c>
      <c r="B35" s="594" t="s">
        <v>393</v>
      </c>
      <c r="C35" s="595"/>
      <c r="D35" s="595"/>
      <c r="E35" s="595"/>
      <c r="F35" s="595"/>
      <c r="G35" s="595"/>
      <c r="H35" s="595"/>
      <c r="I35" s="595"/>
      <c r="J35" s="595"/>
      <c r="K35" s="595"/>
      <c r="L35" s="595"/>
      <c r="M35" s="595"/>
      <c r="N35" s="595"/>
      <c r="O35" s="595"/>
      <c r="P35" s="595"/>
      <c r="Q35" s="595"/>
      <c r="R35" s="595"/>
      <c r="S35" s="596">
        <f>'Zmiany klimatu (GHG) samochody'!S$178</f>
        <v>719</v>
      </c>
      <c r="T35" s="597">
        <f>'Zmiany klimatu (GHG) samochody'!T$178</f>
        <v>674.45984559345266</v>
      </c>
      <c r="U35" s="595">
        <f>'Zmiany klimatu (GHG) samochody'!U$178</f>
        <v>668.68094731829376</v>
      </c>
      <c r="V35" s="595">
        <f>'Zmiany klimatu (GHG) samochody'!V$178</f>
        <v>662.90204904313487</v>
      </c>
      <c r="W35" s="595">
        <f>'Zmiany klimatu (GHG) samochody'!W$178</f>
        <v>657.12315076797597</v>
      </c>
      <c r="X35" s="595">
        <f>'Zmiany klimatu (GHG) samochody'!X$178</f>
        <v>651.34425249281708</v>
      </c>
      <c r="Y35" s="597">
        <f>'Zmiany klimatu (GHG) samochody'!Y$178</f>
        <v>645.56535421765795</v>
      </c>
      <c r="Z35" s="595">
        <f>'Zmiany klimatu (GHG) samochody'!Z$178</f>
        <v>632.26168994053501</v>
      </c>
      <c r="AA35" s="595">
        <f>'Zmiany klimatu (GHG) samochody'!AA$178</f>
        <v>618.95802566341206</v>
      </c>
      <c r="AB35" s="595">
        <f>'Zmiany klimatu (GHG) samochody'!AB$178</f>
        <v>605.65436138628911</v>
      </c>
      <c r="AC35" s="595">
        <f>'Zmiany klimatu (GHG) samochody'!AC$178</f>
        <v>592.35069710916616</v>
      </c>
      <c r="AD35" s="597">
        <f>'Zmiany klimatu (GHG) samochody'!AD$178</f>
        <v>579.0470328320431</v>
      </c>
      <c r="AE35" s="595">
        <f>'Zmiany klimatu (GHG) samochody'!AE$178</f>
        <v>552.51698383609323</v>
      </c>
      <c r="AF35" s="595">
        <f>'Zmiany klimatu (GHG) samochody'!AF$178</f>
        <v>525.98693484014336</v>
      </c>
      <c r="AG35" s="595">
        <f>'Zmiany klimatu (GHG) samochody'!AG$178</f>
        <v>499.45688584419349</v>
      </c>
      <c r="AH35" s="595">
        <f>'Zmiany klimatu (GHG) samochody'!AH$178</f>
        <v>472.92683684824362</v>
      </c>
      <c r="AI35" s="597">
        <f>'Zmiany klimatu (GHG) samochody'!AI$178</f>
        <v>446.39678785229381</v>
      </c>
      <c r="AJ35" s="595">
        <f>'Zmiany klimatu (GHG) samochody'!AJ$178</f>
        <v>431.77946014880877</v>
      </c>
      <c r="AK35" s="595">
        <f>'Zmiany klimatu (GHG) samochody'!AK$178</f>
        <v>417.16213244532372</v>
      </c>
      <c r="AL35" s="595">
        <f>'Zmiany klimatu (GHG) samochody'!AL$178</f>
        <v>402.54480474183867</v>
      </c>
      <c r="AM35" s="595">
        <f>'Zmiany klimatu (GHG) samochody'!AM$178</f>
        <v>387.92747703835363</v>
      </c>
      <c r="AN35" s="597">
        <f>'Zmiany klimatu (GHG) samochody'!AN$178</f>
        <v>373.31014933486864</v>
      </c>
      <c r="AO35" s="595">
        <f>'Zmiany klimatu (GHG) samochody'!AO$178</f>
        <v>373.31014933486864</v>
      </c>
      <c r="AP35" s="595">
        <f>'Zmiany klimatu (GHG) samochody'!AP$178</f>
        <v>373.31014933486864</v>
      </c>
      <c r="AQ35" s="595">
        <f>'Zmiany klimatu (GHG) samochody'!AQ$178</f>
        <v>373.31014933486864</v>
      </c>
      <c r="AR35" s="595">
        <f>'Zmiany klimatu (GHG) samochody'!AR$178</f>
        <v>373.31014933486864</v>
      </c>
      <c r="AS35" s="595">
        <f>'Zmiany klimatu (GHG) samochody'!AS$178</f>
        <v>373.31014933486864</v>
      </c>
      <c r="AT35" s="595">
        <f>'Zmiany klimatu (GHG) samochody'!AT$178</f>
        <v>373.31014933486864</v>
      </c>
      <c r="AU35" s="595">
        <f>'Zmiany klimatu (GHG) samochody'!AU$178</f>
        <v>373.31014933486864</v>
      </c>
      <c r="AV35" s="595">
        <f>'Zmiany klimatu (GHG) samochody'!AV$178</f>
        <v>373.31014933486864</v>
      </c>
      <c r="AW35" s="595">
        <f>'Zmiany klimatu (GHG) samochody'!AW$178</f>
        <v>373.31014933486864</v>
      </c>
      <c r="AX35" s="595">
        <f>'Zmiany klimatu (GHG) samochody'!AX$178</f>
        <v>373.31014933486864</v>
      </c>
      <c r="AY35" s="595">
        <f>'Zmiany klimatu (GHG) samochody'!AY$178</f>
        <v>373.31014933486864</v>
      </c>
      <c r="AZ35" s="595">
        <f>'Zmiany klimatu (GHG) samochody'!AZ$178</f>
        <v>373.31014933486864</v>
      </c>
      <c r="BA35" s="595">
        <f>'Zmiany klimatu (GHG) samochody'!BA$178</f>
        <v>373.31014933486864</v>
      </c>
      <c r="BB35" s="595">
        <f>'Zmiany klimatu (GHG) samochody'!BB$178</f>
        <v>373.31014933486864</v>
      </c>
      <c r="BC35" s="595">
        <f>'Zmiany klimatu (GHG) samochody'!BC$178</f>
        <v>373.31014933486864</v>
      </c>
      <c r="BD35" s="595">
        <f>'Zmiany klimatu (GHG) samochody'!BD$178</f>
        <v>373.31014933486864</v>
      </c>
      <c r="BE35" s="595">
        <f>'Zmiany klimatu (GHG) samochody'!BE$178</f>
        <v>373.31014933486864</v>
      </c>
      <c r="BF35" s="595">
        <f>'Zmiany klimatu (GHG) samochody'!BF$178</f>
        <v>373.31014933486864</v>
      </c>
      <c r="BG35" s="595">
        <f>'Zmiany klimatu (GHG) samochody'!BG$178</f>
        <v>373.31014933486864</v>
      </c>
      <c r="BH35" s="595">
        <f>'Zmiany klimatu (GHG) samochody'!BH$178</f>
        <v>373.31014933486864</v>
      </c>
      <c r="BI35" s="595">
        <f>'Zmiany klimatu (GHG) samochody'!BI$178</f>
        <v>373.31014933486864</v>
      </c>
    </row>
    <row r="36" spans="1:61" s="581" customFormat="1" hidden="1" outlineLevel="1">
      <c r="A36" s="35" t="str">
        <f>'Zmiany klimatu (GHG) samochody'!$A$181</f>
        <v xml:space="preserve">Obliczenia CUPT na podstawie: </v>
      </c>
    </row>
    <row r="37" spans="1:61" s="586" customFormat="1" hidden="1" outlineLevel="1">
      <c r="A37" s="591" t="str">
        <f>'Zmiany klimatu (GHG) samochody'!$A$182</f>
        <v xml:space="preserve">KOBiZE, Wskaźniki emisyjności CO2, SO2, NOx, CO i pyłu całkowitego dla energii elektrycznej na podstawie informacji zawartych w Krajowej bazie o emisjach gazów cieplarnianych i innych substancji za 2019 rok i analogiczny raport za rok 2010 </v>
      </c>
    </row>
    <row r="38" spans="1:61" s="586" customFormat="1" hidden="1" outlineLevel="1">
      <c r="A38" s="591" t="str">
        <f>'Zmiany klimatu (GHG) samochody'!$A$183</f>
        <v xml:space="preserve">PSE S.A., Raport roczny z funkcjonowania Krajowego Systemu Energetycznego - 2010 i 2019 r. </v>
      </c>
    </row>
    <row r="39" spans="1:61" s="586" customFormat="1" hidden="1" outlineLevel="1">
      <c r="A39" s="591" t="str">
        <f>'Zmiany klimatu (GHG) samochody'!$A$184</f>
        <v xml:space="preserve">Polityka energetyczna Polski do roku 2040 (Załącznik 2: Wnioski z analiz prognostycznych dla sektora energetycznego, Tabela 22) </v>
      </c>
    </row>
    <row r="40" spans="1:61" s="586" customFormat="1" hidden="1" outlineLevel="1"/>
    <row r="41" spans="1:61" hidden="1" outlineLevel="1">
      <c r="A41" s="114" t="s">
        <v>64</v>
      </c>
    </row>
    <row r="42" spans="1:61" hidden="1" outlineLevel="1">
      <c r="A42" s="117" t="s">
        <v>69</v>
      </c>
    </row>
    <row r="43" spans="1:61" ht="93.75" hidden="1" outlineLevel="1" thickBot="1">
      <c r="A43" s="120" t="s">
        <v>56</v>
      </c>
      <c r="B43" s="120"/>
      <c r="C43" s="120"/>
      <c r="D43" s="120"/>
      <c r="E43" s="120"/>
      <c r="F43" s="120"/>
      <c r="G43" s="120"/>
      <c r="H43" s="120"/>
      <c r="I43" s="120"/>
      <c r="J43" s="120"/>
      <c r="K43" s="120"/>
      <c r="L43" s="120"/>
      <c r="M43" s="120"/>
      <c r="N43" s="120"/>
      <c r="O43" s="120"/>
      <c r="P43" s="121" t="s">
        <v>58</v>
      </c>
      <c r="Q43" s="121" t="s">
        <v>673</v>
      </c>
      <c r="S43" s="194"/>
      <c r="V43" s="817" t="s">
        <v>197</v>
      </c>
      <c r="W43" s="817"/>
      <c r="X43" s="143" t="s">
        <v>58</v>
      </c>
      <c r="Y43" s="196" t="s">
        <v>673</v>
      </c>
    </row>
    <row r="44" spans="1:61" hidden="1" outlineLevel="1">
      <c r="A44" s="112" t="s">
        <v>36</v>
      </c>
      <c r="P44" s="115">
        <v>0.11</v>
      </c>
      <c r="Q44" s="116">
        <v>0</v>
      </c>
      <c r="V44" t="str">
        <f>A44</f>
        <v>Średnio, wszystkie rodzaje</v>
      </c>
      <c r="X44" s="115">
        <v>0.26</v>
      </c>
      <c r="Y44" s="116">
        <v>18.5</v>
      </c>
    </row>
    <row r="45" spans="1:61" hidden="1" outlineLevel="1">
      <c r="A45" t="s">
        <v>674</v>
      </c>
      <c r="P45" s="115">
        <v>0.09</v>
      </c>
      <c r="Q45" s="116">
        <v>0</v>
      </c>
      <c r="V45" t="str">
        <f>A45</f>
        <v>Regionalne i Podmiejskie</v>
      </c>
      <c r="X45" s="115">
        <v>0.22</v>
      </c>
      <c r="Y45" s="116">
        <v>15.4</v>
      </c>
    </row>
    <row r="46" spans="1:61" hidden="1" outlineLevel="1">
      <c r="A46" t="s">
        <v>44</v>
      </c>
      <c r="P46" s="115">
        <v>0.12</v>
      </c>
      <c r="Q46" s="116">
        <v>0</v>
      </c>
      <c r="V46" t="str">
        <f>A46</f>
        <v>Międzyaglomeracyjne</v>
      </c>
      <c r="X46" s="115">
        <v>0.31</v>
      </c>
      <c r="Y46" s="116">
        <v>21.7</v>
      </c>
    </row>
    <row r="47" spans="1:61" hidden="1" outlineLevel="1">
      <c r="A47" s="68" t="s">
        <v>37</v>
      </c>
      <c r="B47" s="68"/>
      <c r="C47" s="68"/>
      <c r="D47" s="68"/>
      <c r="E47" s="68"/>
      <c r="F47" s="68"/>
      <c r="G47" s="68"/>
      <c r="H47" s="68"/>
      <c r="I47" s="68"/>
      <c r="J47" s="68"/>
      <c r="K47" s="68"/>
      <c r="L47" s="68"/>
      <c r="M47" s="68"/>
      <c r="N47" s="68"/>
      <c r="O47" s="68"/>
      <c r="P47" s="122">
        <v>0.11</v>
      </c>
      <c r="Q47" s="124">
        <v>0</v>
      </c>
      <c r="V47" s="68" t="str">
        <f>A47</f>
        <v>Pociągi dużej prędkości</v>
      </c>
      <c r="W47" s="68"/>
      <c r="X47" s="132"/>
      <c r="Y47" s="133"/>
    </row>
    <row r="48" spans="1:61" hidden="1" outlineLevel="1">
      <c r="A48" s="774" t="s">
        <v>675</v>
      </c>
      <c r="B48" s="774"/>
      <c r="C48" s="774"/>
      <c r="D48" s="774"/>
      <c r="E48" s="774"/>
      <c r="F48" s="774"/>
      <c r="G48" s="774"/>
      <c r="H48" s="774"/>
      <c r="I48" s="774"/>
      <c r="J48" s="774"/>
      <c r="K48" s="774"/>
      <c r="L48" s="774"/>
      <c r="M48" s="774"/>
      <c r="N48" s="774"/>
      <c r="O48" s="774"/>
      <c r="P48" s="774"/>
      <c r="Q48" s="774"/>
      <c r="R48" s="774"/>
      <c r="S48" s="774"/>
      <c r="T48" s="774"/>
      <c r="U48" s="774"/>
      <c r="V48" s="774"/>
      <c r="W48" s="774"/>
      <c r="X48" s="774"/>
      <c r="Y48" s="774"/>
    </row>
    <row r="49" spans="1:28" s="668" customFormat="1" hidden="1" outlineLevel="1">
      <c r="A49" s="774"/>
      <c r="B49" s="774"/>
      <c r="C49" s="774"/>
      <c r="D49" s="774"/>
      <c r="E49" s="774"/>
      <c r="F49" s="774"/>
      <c r="G49" s="774"/>
      <c r="H49" s="774"/>
      <c r="I49" s="774"/>
      <c r="J49" s="774"/>
      <c r="K49" s="774"/>
      <c r="L49" s="774"/>
      <c r="M49" s="774"/>
      <c r="N49" s="774"/>
      <c r="O49" s="774"/>
      <c r="P49" s="774"/>
      <c r="Q49" s="774"/>
      <c r="R49" s="774"/>
      <c r="S49" s="774"/>
      <c r="T49" s="774"/>
      <c r="U49" s="774"/>
      <c r="V49" s="774"/>
      <c r="W49" s="774"/>
      <c r="X49" s="774"/>
      <c r="Y49" s="774"/>
    </row>
    <row r="50" spans="1:28" s="140" customFormat="1" hidden="1" outlineLevel="1">
      <c r="A50" s="126" t="s">
        <v>676</v>
      </c>
    </row>
    <row r="51" spans="1:28" hidden="1" outlineLevel="1">
      <c r="A51" s="35" t="s">
        <v>677</v>
      </c>
    </row>
    <row r="52" spans="1:28" hidden="1" outlineLevel="1">
      <c r="A52" s="117" t="s">
        <v>70</v>
      </c>
    </row>
    <row r="53" spans="1:28" ht="93.75" hidden="1" outlineLevel="1" thickBot="1">
      <c r="A53" s="120" t="s">
        <v>57</v>
      </c>
      <c r="B53" s="120"/>
      <c r="C53" s="120"/>
      <c r="D53" s="120"/>
      <c r="E53" s="120"/>
      <c r="F53" s="120"/>
      <c r="G53" s="120"/>
      <c r="H53" s="120"/>
      <c r="I53" s="120"/>
      <c r="J53" s="120"/>
      <c r="K53" s="120"/>
      <c r="L53" s="120"/>
      <c r="M53" s="120"/>
      <c r="N53" s="120"/>
      <c r="O53" s="120"/>
      <c r="P53" s="121" t="s">
        <v>59</v>
      </c>
      <c r="Q53" s="196" t="s">
        <v>678</v>
      </c>
      <c r="V53" s="817" t="s">
        <v>198</v>
      </c>
      <c r="W53" s="817"/>
      <c r="X53" s="143" t="s">
        <v>59</v>
      </c>
      <c r="Y53" s="196" t="s">
        <v>678</v>
      </c>
    </row>
    <row r="54" spans="1:28" ht="30" hidden="1" outlineLevel="1">
      <c r="A54" s="141" t="s">
        <v>679</v>
      </c>
      <c r="P54" s="116">
        <v>59.8</v>
      </c>
      <c r="Q54" s="128">
        <v>0</v>
      </c>
      <c r="V54" s="831" t="str">
        <f>A54</f>
        <v>Średnio, wszystkie rodzaje 
(1000t - 21 wagonów)</v>
      </c>
      <c r="W54" s="831"/>
      <c r="X54" s="116">
        <v>161.5</v>
      </c>
      <c r="Y54" s="128">
        <v>11.433999999999999</v>
      </c>
    </row>
    <row r="55" spans="1:28" ht="30" hidden="1" outlineLevel="1">
      <c r="A55" s="141" t="s">
        <v>680</v>
      </c>
      <c r="P55" s="116">
        <v>59.8</v>
      </c>
      <c r="Q55" s="128">
        <v>0</v>
      </c>
      <c r="V55" s="754" t="str">
        <f>A55</f>
        <v>Masowe 
(1000t - 18 wagonów)</v>
      </c>
      <c r="W55" s="754"/>
      <c r="X55" s="116">
        <v>161.5</v>
      </c>
      <c r="Y55" s="128">
        <v>11.433999999999999</v>
      </c>
    </row>
    <row r="56" spans="1:28" ht="30" hidden="1" outlineLevel="1">
      <c r="A56" s="141" t="s">
        <v>681</v>
      </c>
      <c r="P56" s="116">
        <v>59.8</v>
      </c>
      <c r="Q56" s="128">
        <v>0</v>
      </c>
      <c r="V56" s="754" t="str">
        <f>A56</f>
        <v>Gabarytowe 
(1000t - 26 wagonów)</v>
      </c>
      <c r="W56" s="754"/>
      <c r="X56" s="116">
        <v>161.5</v>
      </c>
      <c r="Y56" s="128">
        <v>11.433999999999999</v>
      </c>
    </row>
    <row r="57" spans="1:28" ht="30" hidden="1" outlineLevel="1">
      <c r="A57" s="142" t="s">
        <v>682</v>
      </c>
      <c r="B57" s="68"/>
      <c r="C57" s="68"/>
      <c r="D57" s="68"/>
      <c r="E57" s="68"/>
      <c r="F57" s="68"/>
      <c r="G57" s="68"/>
      <c r="H57" s="68"/>
      <c r="I57" s="68"/>
      <c r="J57" s="68"/>
      <c r="K57" s="68"/>
      <c r="L57" s="68"/>
      <c r="M57" s="68"/>
      <c r="N57" s="68"/>
      <c r="O57" s="68"/>
      <c r="P57" s="124">
        <v>59.8</v>
      </c>
      <c r="Q57" s="129">
        <v>0</v>
      </c>
      <c r="V57" s="790" t="str">
        <f>A57</f>
        <v>Kontenerowe 
(1000t - 21 wagonów)</v>
      </c>
      <c r="W57" s="790"/>
      <c r="X57" s="124">
        <v>161.5</v>
      </c>
      <c r="Y57" s="129">
        <v>11.433999999999999</v>
      </c>
    </row>
    <row r="58" spans="1:28" s="140" customFormat="1" hidden="1" outlineLevel="1">
      <c r="A58" s="126" t="s">
        <v>68</v>
      </c>
      <c r="B58" s="144"/>
      <c r="C58" s="144"/>
      <c r="D58" s="144"/>
      <c r="E58" s="144"/>
      <c r="F58" s="144"/>
      <c r="G58" s="144"/>
      <c r="H58" s="144"/>
      <c r="I58" s="144"/>
      <c r="J58" s="144"/>
      <c r="K58" s="144"/>
      <c r="L58" s="144"/>
      <c r="M58" s="144"/>
      <c r="N58" s="144"/>
      <c r="O58" s="144"/>
      <c r="P58" s="147"/>
      <c r="Q58" s="150"/>
      <c r="R58" s="146"/>
      <c r="S58" s="151"/>
      <c r="T58" s="152"/>
      <c r="V58" s="144"/>
      <c r="W58" s="144"/>
      <c r="X58" s="147"/>
      <c r="Y58" s="150"/>
      <c r="Z58" s="146"/>
      <c r="AA58" s="151"/>
      <c r="AB58" s="152"/>
    </row>
    <row r="59" spans="1:28" hidden="1" outlineLevel="1">
      <c r="A59" s="35" t="s">
        <v>67</v>
      </c>
    </row>
    <row r="60" spans="1:28" hidden="1" outlineLevel="1">
      <c r="A60" s="774" t="s">
        <v>683</v>
      </c>
      <c r="B60" s="774"/>
      <c r="C60" s="774"/>
      <c r="D60" s="774"/>
      <c r="E60" s="774"/>
      <c r="F60" s="774"/>
      <c r="G60" s="774"/>
      <c r="H60" s="774"/>
      <c r="I60" s="774"/>
      <c r="J60" s="774"/>
      <c r="K60" s="774"/>
      <c r="L60" s="774"/>
      <c r="M60" s="774"/>
      <c r="N60" s="774"/>
      <c r="O60" s="774"/>
      <c r="P60" s="774"/>
      <c r="Q60" s="774"/>
      <c r="R60" s="774"/>
      <c r="S60" s="774"/>
      <c r="T60" s="774"/>
      <c r="U60" s="774"/>
      <c r="V60" s="774"/>
      <c r="W60" s="774"/>
      <c r="X60" s="774"/>
      <c r="Y60" s="774"/>
    </row>
    <row r="61" spans="1:28" s="668" customFormat="1" hidden="1" outlineLevel="1">
      <c r="A61" s="774"/>
      <c r="B61" s="774"/>
      <c r="C61" s="774"/>
      <c r="D61" s="774"/>
      <c r="E61" s="774"/>
      <c r="F61" s="774"/>
      <c r="G61" s="774"/>
      <c r="H61" s="774"/>
      <c r="I61" s="774"/>
      <c r="J61" s="774"/>
      <c r="K61" s="774"/>
      <c r="L61" s="774"/>
      <c r="M61" s="774"/>
      <c r="N61" s="774"/>
      <c r="O61" s="774"/>
      <c r="P61" s="774"/>
      <c r="Q61" s="774"/>
      <c r="R61" s="774"/>
      <c r="S61" s="774"/>
      <c r="T61" s="774"/>
      <c r="U61" s="774"/>
      <c r="V61" s="774"/>
      <c r="W61" s="774"/>
      <c r="X61" s="774"/>
      <c r="Y61" s="774"/>
    </row>
    <row r="62" spans="1:28" hidden="1" outlineLevel="1"/>
    <row r="63" spans="1:28" hidden="1" outlineLevel="1">
      <c r="A63" t="s">
        <v>33</v>
      </c>
      <c r="B63" s="137">
        <f>B64/(B65*B66)</f>
        <v>0.27777777777777779</v>
      </c>
    </row>
    <row r="64" spans="1:28" hidden="1" outlineLevel="1">
      <c r="B64" s="87">
        <f>10^6</f>
        <v>1000000</v>
      </c>
      <c r="P64" t="s">
        <v>45</v>
      </c>
    </row>
    <row r="65" spans="1:61" hidden="1" outlineLevel="1">
      <c r="B65" s="87">
        <f>10^3</f>
        <v>1000</v>
      </c>
      <c r="P65" t="s">
        <v>46</v>
      </c>
    </row>
    <row r="66" spans="1:61" hidden="1" outlineLevel="1">
      <c r="B66" s="87">
        <f>(60*60)</f>
        <v>3600</v>
      </c>
      <c r="P66" t="s">
        <v>47</v>
      </c>
    </row>
    <row r="67" spans="1:61" collapsed="1"/>
    <row r="68" spans="1:61" ht="18">
      <c r="A68" s="1" t="s">
        <v>684</v>
      </c>
    </row>
    <row r="69" spans="1:61" s="592" customFormat="1">
      <c r="A69" s="774" t="s">
        <v>685</v>
      </c>
      <c r="B69" s="774"/>
      <c r="C69" s="774"/>
      <c r="D69" s="774"/>
      <c r="E69" s="774"/>
      <c r="F69" s="774"/>
      <c r="G69" s="774"/>
      <c r="H69" s="774"/>
      <c r="I69" s="774"/>
      <c r="J69" s="774"/>
      <c r="K69" s="774"/>
      <c r="L69" s="774"/>
      <c r="M69" s="774"/>
      <c r="N69" s="774"/>
      <c r="O69" s="774"/>
      <c r="P69" s="774"/>
      <c r="Q69" s="774"/>
      <c r="R69" s="774"/>
      <c r="S69" s="774"/>
      <c r="T69" s="774"/>
      <c r="U69" s="774"/>
      <c r="V69" s="774"/>
    </row>
    <row r="70" spans="1:61" s="668" customFormat="1">
      <c r="A70" s="774"/>
      <c r="B70" s="774"/>
      <c r="C70" s="774"/>
      <c r="D70" s="774"/>
      <c r="E70" s="774"/>
      <c r="F70" s="774"/>
      <c r="G70" s="774"/>
      <c r="H70" s="774"/>
      <c r="I70" s="774"/>
      <c r="J70" s="774"/>
      <c r="K70" s="774"/>
      <c r="L70" s="774"/>
      <c r="M70" s="774"/>
      <c r="N70" s="774"/>
      <c r="O70" s="774"/>
      <c r="P70" s="774"/>
      <c r="Q70" s="774"/>
      <c r="R70" s="774"/>
      <c r="S70" s="774"/>
      <c r="T70" s="774"/>
      <c r="U70" s="774"/>
      <c r="V70" s="774"/>
    </row>
    <row r="71" spans="1:61" s="592" customFormat="1" ht="30.75" customHeight="1">
      <c r="A71" s="832" t="s">
        <v>56</v>
      </c>
      <c r="B71" s="590"/>
      <c r="C71" s="590"/>
      <c r="D71" s="590"/>
      <c r="E71" s="590"/>
      <c r="F71" s="590"/>
      <c r="G71" s="590"/>
      <c r="H71" s="590"/>
      <c r="I71" s="590"/>
      <c r="J71" s="590"/>
      <c r="K71" s="590"/>
      <c r="L71" s="590"/>
      <c r="M71" s="590"/>
      <c r="N71" s="590"/>
      <c r="O71" s="590"/>
      <c r="P71" s="823" t="s">
        <v>98</v>
      </c>
      <c r="Q71" s="590"/>
      <c r="R71" s="590"/>
      <c r="S71" s="590" t="s">
        <v>686</v>
      </c>
      <c r="T71" s="590"/>
      <c r="U71" s="590"/>
      <c r="V71" s="590"/>
      <c r="W71" s="590"/>
      <c r="X71" s="590"/>
      <c r="Y71" s="590"/>
      <c r="Z71" s="590"/>
      <c r="AA71" s="590"/>
      <c r="AB71" s="590"/>
      <c r="AC71" s="590"/>
      <c r="AD71" s="590"/>
      <c r="AE71" s="590"/>
      <c r="AF71" s="590"/>
      <c r="AG71" s="590"/>
      <c r="AH71" s="590"/>
      <c r="AI71" s="590"/>
      <c r="AJ71" s="590"/>
      <c r="AK71" s="590"/>
      <c r="AL71" s="590"/>
      <c r="AM71" s="590"/>
      <c r="AN71" s="590"/>
      <c r="AO71" s="590"/>
      <c r="AP71" s="590"/>
      <c r="AQ71" s="590"/>
      <c r="AR71" s="590"/>
      <c r="AS71" s="590"/>
      <c r="AT71" s="590"/>
      <c r="AU71" s="590"/>
      <c r="AV71" s="590"/>
      <c r="AW71" s="590"/>
      <c r="AX71" s="590"/>
      <c r="AY71" s="590"/>
      <c r="AZ71" s="590"/>
      <c r="BA71" s="590"/>
      <c r="BB71" s="590"/>
      <c r="BC71" s="590"/>
      <c r="BD71" s="590"/>
      <c r="BE71" s="590"/>
      <c r="BF71" s="590"/>
      <c r="BG71" s="590"/>
      <c r="BH71" s="590"/>
      <c r="BI71" s="590"/>
    </row>
    <row r="72" spans="1:61" ht="30" customHeight="1" thickBot="1">
      <c r="A72" s="826"/>
      <c r="B72" s="583"/>
      <c r="C72" s="583"/>
      <c r="D72" s="583"/>
      <c r="E72" s="583"/>
      <c r="F72" s="583"/>
      <c r="G72" s="583"/>
      <c r="H72" s="583"/>
      <c r="I72" s="583"/>
      <c r="J72" s="583"/>
      <c r="K72" s="583"/>
      <c r="L72" s="583"/>
      <c r="M72" s="583"/>
      <c r="N72" s="583"/>
      <c r="O72" s="583"/>
      <c r="P72" s="824"/>
      <c r="Q72" s="583"/>
      <c r="R72" s="583"/>
      <c r="S72" s="583">
        <v>2019</v>
      </c>
      <c r="T72" s="583">
        <f>S72+1</f>
        <v>2020</v>
      </c>
      <c r="U72" s="583">
        <f t="shared" ref="U72:BI72" si="5">T72+1</f>
        <v>2021</v>
      </c>
      <c r="V72" s="583">
        <f t="shared" si="5"/>
        <v>2022</v>
      </c>
      <c r="W72" s="583">
        <f t="shared" si="5"/>
        <v>2023</v>
      </c>
      <c r="X72" s="583">
        <f t="shared" si="5"/>
        <v>2024</v>
      </c>
      <c r="Y72" s="583">
        <f t="shared" si="5"/>
        <v>2025</v>
      </c>
      <c r="Z72" s="583">
        <f t="shared" si="5"/>
        <v>2026</v>
      </c>
      <c r="AA72" s="583">
        <f t="shared" si="5"/>
        <v>2027</v>
      </c>
      <c r="AB72" s="583">
        <f t="shared" si="5"/>
        <v>2028</v>
      </c>
      <c r="AC72" s="583">
        <f t="shared" si="5"/>
        <v>2029</v>
      </c>
      <c r="AD72" s="583">
        <f t="shared" si="5"/>
        <v>2030</v>
      </c>
      <c r="AE72" s="583">
        <f t="shared" si="5"/>
        <v>2031</v>
      </c>
      <c r="AF72" s="583">
        <f t="shared" si="5"/>
        <v>2032</v>
      </c>
      <c r="AG72" s="583">
        <f t="shared" si="5"/>
        <v>2033</v>
      </c>
      <c r="AH72" s="583">
        <f t="shared" si="5"/>
        <v>2034</v>
      </c>
      <c r="AI72" s="583">
        <f t="shared" si="5"/>
        <v>2035</v>
      </c>
      <c r="AJ72" s="583">
        <f t="shared" si="5"/>
        <v>2036</v>
      </c>
      <c r="AK72" s="583">
        <f t="shared" si="5"/>
        <v>2037</v>
      </c>
      <c r="AL72" s="583">
        <f t="shared" si="5"/>
        <v>2038</v>
      </c>
      <c r="AM72" s="583">
        <f t="shared" si="5"/>
        <v>2039</v>
      </c>
      <c r="AN72" s="583">
        <f t="shared" si="5"/>
        <v>2040</v>
      </c>
      <c r="AO72" s="583">
        <f t="shared" si="5"/>
        <v>2041</v>
      </c>
      <c r="AP72" s="583">
        <f t="shared" si="5"/>
        <v>2042</v>
      </c>
      <c r="AQ72" s="583">
        <f t="shared" si="5"/>
        <v>2043</v>
      </c>
      <c r="AR72" s="583">
        <f t="shared" si="5"/>
        <v>2044</v>
      </c>
      <c r="AS72" s="583">
        <f t="shared" si="5"/>
        <v>2045</v>
      </c>
      <c r="AT72" s="583">
        <f t="shared" si="5"/>
        <v>2046</v>
      </c>
      <c r="AU72" s="583">
        <f t="shared" si="5"/>
        <v>2047</v>
      </c>
      <c r="AV72" s="583">
        <f t="shared" si="5"/>
        <v>2048</v>
      </c>
      <c r="AW72" s="583">
        <f t="shared" si="5"/>
        <v>2049</v>
      </c>
      <c r="AX72" s="583">
        <f t="shared" si="5"/>
        <v>2050</v>
      </c>
      <c r="AY72" s="583">
        <f t="shared" si="5"/>
        <v>2051</v>
      </c>
      <c r="AZ72" s="583">
        <f t="shared" si="5"/>
        <v>2052</v>
      </c>
      <c r="BA72" s="583">
        <f t="shared" si="5"/>
        <v>2053</v>
      </c>
      <c r="BB72" s="583">
        <f t="shared" si="5"/>
        <v>2054</v>
      </c>
      <c r="BC72" s="583">
        <f t="shared" si="5"/>
        <v>2055</v>
      </c>
      <c r="BD72" s="583">
        <f t="shared" si="5"/>
        <v>2056</v>
      </c>
      <c r="BE72" s="583">
        <f t="shared" si="5"/>
        <v>2057</v>
      </c>
      <c r="BF72" s="583">
        <f t="shared" si="5"/>
        <v>2058</v>
      </c>
      <c r="BG72" s="583">
        <f t="shared" si="5"/>
        <v>2059</v>
      </c>
      <c r="BH72" s="583">
        <f t="shared" si="5"/>
        <v>2060</v>
      </c>
      <c r="BI72" s="583">
        <f t="shared" si="5"/>
        <v>2061</v>
      </c>
    </row>
    <row r="73" spans="1:61">
      <c r="A73" s="112" t="str">
        <f>A44</f>
        <v>Średnio, wszystkie rodzaje</v>
      </c>
      <c r="P73" s="128">
        <f>P44*$B$63</f>
        <v>3.0555555555555558E-2</v>
      </c>
      <c r="Q73" s="595"/>
      <c r="R73" s="595"/>
      <c r="S73" s="595">
        <f t="shared" ref="S73:BI73" si="6">$Q44+$P73*S$35</f>
        <v>21.969444444444445</v>
      </c>
      <c r="T73" s="595">
        <f t="shared" si="6"/>
        <v>20.608495282022165</v>
      </c>
      <c r="U73" s="595">
        <f t="shared" si="6"/>
        <v>20.431917834725645</v>
      </c>
      <c r="V73" s="595">
        <f t="shared" si="6"/>
        <v>20.255340387429122</v>
      </c>
      <c r="W73" s="595">
        <f t="shared" si="6"/>
        <v>20.078762940132602</v>
      </c>
      <c r="X73" s="595">
        <f t="shared" si="6"/>
        <v>19.902185492836079</v>
      </c>
      <c r="Y73" s="595">
        <f t="shared" si="6"/>
        <v>19.725608045539552</v>
      </c>
      <c r="Z73" s="595">
        <f t="shared" si="6"/>
        <v>19.31910719262746</v>
      </c>
      <c r="AA73" s="595">
        <f t="shared" si="6"/>
        <v>18.912606339715371</v>
      </c>
      <c r="AB73" s="595">
        <f t="shared" si="6"/>
        <v>18.506105486803278</v>
      </c>
      <c r="AC73" s="595">
        <f t="shared" si="6"/>
        <v>18.09960463389119</v>
      </c>
      <c r="AD73" s="595">
        <f t="shared" si="6"/>
        <v>17.693103780979097</v>
      </c>
      <c r="AE73" s="595">
        <f t="shared" si="6"/>
        <v>16.882463394991738</v>
      </c>
      <c r="AF73" s="595">
        <f t="shared" si="6"/>
        <v>16.071823009004383</v>
      </c>
      <c r="AG73" s="595">
        <f t="shared" si="6"/>
        <v>15.261182623017024</v>
      </c>
      <c r="AH73" s="595">
        <f t="shared" si="6"/>
        <v>14.450542237029667</v>
      </c>
      <c r="AI73" s="595">
        <f t="shared" si="6"/>
        <v>13.639901851042312</v>
      </c>
      <c r="AJ73" s="595">
        <f t="shared" si="6"/>
        <v>13.193261282324713</v>
      </c>
      <c r="AK73" s="595">
        <f t="shared" si="6"/>
        <v>12.746620713607115</v>
      </c>
      <c r="AL73" s="595">
        <f t="shared" si="6"/>
        <v>12.299980144889515</v>
      </c>
      <c r="AM73" s="595">
        <f t="shared" si="6"/>
        <v>11.853339576171917</v>
      </c>
      <c r="AN73" s="595">
        <f t="shared" si="6"/>
        <v>11.406699007454321</v>
      </c>
      <c r="AO73" s="595">
        <f t="shared" si="6"/>
        <v>11.406699007454321</v>
      </c>
      <c r="AP73" s="595">
        <f t="shared" si="6"/>
        <v>11.406699007454321</v>
      </c>
      <c r="AQ73" s="595">
        <f t="shared" si="6"/>
        <v>11.406699007454321</v>
      </c>
      <c r="AR73" s="595">
        <f t="shared" si="6"/>
        <v>11.406699007454321</v>
      </c>
      <c r="AS73" s="595">
        <f t="shared" si="6"/>
        <v>11.406699007454321</v>
      </c>
      <c r="AT73" s="595">
        <f t="shared" si="6"/>
        <v>11.406699007454321</v>
      </c>
      <c r="AU73" s="595">
        <f t="shared" si="6"/>
        <v>11.406699007454321</v>
      </c>
      <c r="AV73" s="595">
        <f t="shared" si="6"/>
        <v>11.406699007454321</v>
      </c>
      <c r="AW73" s="595">
        <f t="shared" si="6"/>
        <v>11.406699007454321</v>
      </c>
      <c r="AX73" s="595">
        <f t="shared" si="6"/>
        <v>11.406699007454321</v>
      </c>
      <c r="AY73" s="595">
        <f t="shared" si="6"/>
        <v>11.406699007454321</v>
      </c>
      <c r="AZ73" s="595">
        <f t="shared" si="6"/>
        <v>11.406699007454321</v>
      </c>
      <c r="BA73" s="595">
        <f t="shared" si="6"/>
        <v>11.406699007454321</v>
      </c>
      <c r="BB73" s="595">
        <f t="shared" si="6"/>
        <v>11.406699007454321</v>
      </c>
      <c r="BC73" s="595">
        <f t="shared" si="6"/>
        <v>11.406699007454321</v>
      </c>
      <c r="BD73" s="595">
        <f t="shared" si="6"/>
        <v>11.406699007454321</v>
      </c>
      <c r="BE73" s="595">
        <f t="shared" si="6"/>
        <v>11.406699007454321</v>
      </c>
      <c r="BF73" s="595">
        <f t="shared" si="6"/>
        <v>11.406699007454321</v>
      </c>
      <c r="BG73" s="595">
        <f t="shared" si="6"/>
        <v>11.406699007454321</v>
      </c>
      <c r="BH73" s="595">
        <f t="shared" si="6"/>
        <v>11.406699007454321</v>
      </c>
      <c r="BI73" s="595">
        <f t="shared" si="6"/>
        <v>11.406699007454321</v>
      </c>
    </row>
    <row r="74" spans="1:61">
      <c r="A74" s="112" t="str">
        <f>A45</f>
        <v>Regionalne i Podmiejskie</v>
      </c>
      <c r="P74" s="128">
        <f>P45*$B$63</f>
        <v>2.5000000000000001E-2</v>
      </c>
      <c r="Q74" s="595"/>
      <c r="R74" s="595"/>
      <c r="S74" s="595">
        <f t="shared" ref="S74:BI74" si="7">$Q45+$P74*S$35</f>
        <v>17.975000000000001</v>
      </c>
      <c r="T74" s="595">
        <f t="shared" si="7"/>
        <v>16.861496139836316</v>
      </c>
      <c r="U74" s="595">
        <f t="shared" si="7"/>
        <v>16.717023682957343</v>
      </c>
      <c r="V74" s="595">
        <f t="shared" si="7"/>
        <v>16.572551226078371</v>
      </c>
      <c r="W74" s="595">
        <f t="shared" si="7"/>
        <v>16.428078769199399</v>
      </c>
      <c r="X74" s="595">
        <f t="shared" si="7"/>
        <v>16.283606312320426</v>
      </c>
      <c r="Y74" s="595">
        <f t="shared" si="7"/>
        <v>16.13913385544145</v>
      </c>
      <c r="Z74" s="595">
        <f t="shared" si="7"/>
        <v>15.806542248513376</v>
      </c>
      <c r="AA74" s="595">
        <f t="shared" si="7"/>
        <v>15.473950641585303</v>
      </c>
      <c r="AB74" s="595">
        <f t="shared" si="7"/>
        <v>15.141359034657228</v>
      </c>
      <c r="AC74" s="595">
        <f t="shared" si="7"/>
        <v>14.808767427729155</v>
      </c>
      <c r="AD74" s="595">
        <f t="shared" si="7"/>
        <v>14.476175820801078</v>
      </c>
      <c r="AE74" s="595">
        <f t="shared" si="7"/>
        <v>13.812924595902331</v>
      </c>
      <c r="AF74" s="595">
        <f t="shared" si="7"/>
        <v>13.149673371003585</v>
      </c>
      <c r="AG74" s="595">
        <f t="shared" si="7"/>
        <v>12.486422146104838</v>
      </c>
      <c r="AH74" s="595">
        <f t="shared" si="7"/>
        <v>11.823170921206092</v>
      </c>
      <c r="AI74" s="595">
        <f t="shared" si="7"/>
        <v>11.159919696307346</v>
      </c>
      <c r="AJ74" s="595">
        <f t="shared" si="7"/>
        <v>10.79448650372022</v>
      </c>
      <c r="AK74" s="595">
        <f t="shared" si="7"/>
        <v>10.429053311133094</v>
      </c>
      <c r="AL74" s="595">
        <f t="shared" si="7"/>
        <v>10.063620118545968</v>
      </c>
      <c r="AM74" s="595">
        <f t="shared" si="7"/>
        <v>9.6981869259588418</v>
      </c>
      <c r="AN74" s="595">
        <f t="shared" si="7"/>
        <v>9.3327537333717157</v>
      </c>
      <c r="AO74" s="595">
        <f t="shared" si="7"/>
        <v>9.3327537333717157</v>
      </c>
      <c r="AP74" s="595">
        <f t="shared" si="7"/>
        <v>9.3327537333717157</v>
      </c>
      <c r="AQ74" s="595">
        <f t="shared" si="7"/>
        <v>9.3327537333717157</v>
      </c>
      <c r="AR74" s="595">
        <f t="shared" si="7"/>
        <v>9.3327537333717157</v>
      </c>
      <c r="AS74" s="595">
        <f t="shared" si="7"/>
        <v>9.3327537333717157</v>
      </c>
      <c r="AT74" s="595">
        <f t="shared" si="7"/>
        <v>9.3327537333717157</v>
      </c>
      <c r="AU74" s="595">
        <f t="shared" si="7"/>
        <v>9.3327537333717157</v>
      </c>
      <c r="AV74" s="595">
        <f t="shared" si="7"/>
        <v>9.3327537333717157</v>
      </c>
      <c r="AW74" s="595">
        <f t="shared" si="7"/>
        <v>9.3327537333717157</v>
      </c>
      <c r="AX74" s="595">
        <f t="shared" si="7"/>
        <v>9.3327537333717157</v>
      </c>
      <c r="AY74" s="595">
        <f t="shared" si="7"/>
        <v>9.3327537333717157</v>
      </c>
      <c r="AZ74" s="595">
        <f t="shared" si="7"/>
        <v>9.3327537333717157</v>
      </c>
      <c r="BA74" s="595">
        <f t="shared" si="7"/>
        <v>9.3327537333717157</v>
      </c>
      <c r="BB74" s="595">
        <f t="shared" si="7"/>
        <v>9.3327537333717157</v>
      </c>
      <c r="BC74" s="595">
        <f t="shared" si="7"/>
        <v>9.3327537333717157</v>
      </c>
      <c r="BD74" s="595">
        <f t="shared" si="7"/>
        <v>9.3327537333717157</v>
      </c>
      <c r="BE74" s="595">
        <f t="shared" si="7"/>
        <v>9.3327537333717157</v>
      </c>
      <c r="BF74" s="595">
        <f t="shared" si="7"/>
        <v>9.3327537333717157</v>
      </c>
      <c r="BG74" s="595">
        <f t="shared" si="7"/>
        <v>9.3327537333717157</v>
      </c>
      <c r="BH74" s="595">
        <f t="shared" si="7"/>
        <v>9.3327537333717157</v>
      </c>
      <c r="BI74" s="595">
        <f t="shared" si="7"/>
        <v>9.3327537333717157</v>
      </c>
    </row>
    <row r="75" spans="1:61">
      <c r="A75" s="112" t="str">
        <f>A46</f>
        <v>Międzyaglomeracyjne</v>
      </c>
      <c r="P75" s="128">
        <f>P46*$B$63</f>
        <v>3.3333333333333333E-2</v>
      </c>
      <c r="Q75" s="595"/>
      <c r="R75" s="595"/>
      <c r="S75" s="595">
        <f t="shared" ref="S75:BI75" si="8">$Q46+$P75*S$35</f>
        <v>23.966666666666665</v>
      </c>
      <c r="T75" s="595">
        <f t="shared" si="8"/>
        <v>22.48199485311509</v>
      </c>
      <c r="U75" s="595">
        <f t="shared" si="8"/>
        <v>22.289364910609791</v>
      </c>
      <c r="V75" s="595">
        <f t="shared" si="8"/>
        <v>22.096734968104496</v>
      </c>
      <c r="W75" s="595">
        <f t="shared" si="8"/>
        <v>21.9041050255992</v>
      </c>
      <c r="X75" s="595">
        <f t="shared" si="8"/>
        <v>21.711475083093902</v>
      </c>
      <c r="Y75" s="595">
        <f t="shared" si="8"/>
        <v>21.518845140588599</v>
      </c>
      <c r="Z75" s="595">
        <f t="shared" si="8"/>
        <v>21.075389664684501</v>
      </c>
      <c r="AA75" s="595">
        <f t="shared" si="8"/>
        <v>20.631934188780402</v>
      </c>
      <c r="AB75" s="595">
        <f t="shared" si="8"/>
        <v>20.188478712876304</v>
      </c>
      <c r="AC75" s="595">
        <f t="shared" si="8"/>
        <v>19.745023236972205</v>
      </c>
      <c r="AD75" s="595">
        <f t="shared" si="8"/>
        <v>19.301567761068103</v>
      </c>
      <c r="AE75" s="595">
        <f t="shared" si="8"/>
        <v>18.417232794536442</v>
      </c>
      <c r="AF75" s="595">
        <f t="shared" si="8"/>
        <v>17.532897828004778</v>
      </c>
      <c r="AG75" s="595">
        <f t="shared" si="8"/>
        <v>16.648562861473117</v>
      </c>
      <c r="AH75" s="595">
        <f t="shared" si="8"/>
        <v>15.764227894941454</v>
      </c>
      <c r="AI75" s="595">
        <f t="shared" si="8"/>
        <v>14.879892928409793</v>
      </c>
      <c r="AJ75" s="595">
        <f t="shared" si="8"/>
        <v>14.392648671626958</v>
      </c>
      <c r="AK75" s="595">
        <f t="shared" si="8"/>
        <v>13.905404414844124</v>
      </c>
      <c r="AL75" s="595">
        <f t="shared" si="8"/>
        <v>13.418160158061289</v>
      </c>
      <c r="AM75" s="595">
        <f t="shared" si="8"/>
        <v>12.930915901278453</v>
      </c>
      <c r="AN75" s="595">
        <f t="shared" si="8"/>
        <v>12.443671644495621</v>
      </c>
      <c r="AO75" s="595">
        <f t="shared" si="8"/>
        <v>12.443671644495621</v>
      </c>
      <c r="AP75" s="595">
        <f t="shared" si="8"/>
        <v>12.443671644495621</v>
      </c>
      <c r="AQ75" s="595">
        <f t="shared" si="8"/>
        <v>12.443671644495621</v>
      </c>
      <c r="AR75" s="595">
        <f t="shared" si="8"/>
        <v>12.443671644495621</v>
      </c>
      <c r="AS75" s="595">
        <f t="shared" si="8"/>
        <v>12.443671644495621</v>
      </c>
      <c r="AT75" s="595">
        <f t="shared" si="8"/>
        <v>12.443671644495621</v>
      </c>
      <c r="AU75" s="595">
        <f t="shared" si="8"/>
        <v>12.443671644495621</v>
      </c>
      <c r="AV75" s="595">
        <f t="shared" si="8"/>
        <v>12.443671644495621</v>
      </c>
      <c r="AW75" s="595">
        <f t="shared" si="8"/>
        <v>12.443671644495621</v>
      </c>
      <c r="AX75" s="595">
        <f t="shared" si="8"/>
        <v>12.443671644495621</v>
      </c>
      <c r="AY75" s="595">
        <f t="shared" si="8"/>
        <v>12.443671644495621</v>
      </c>
      <c r="AZ75" s="595">
        <f t="shared" si="8"/>
        <v>12.443671644495621</v>
      </c>
      <c r="BA75" s="595">
        <f t="shared" si="8"/>
        <v>12.443671644495621</v>
      </c>
      <c r="BB75" s="595">
        <f t="shared" si="8"/>
        <v>12.443671644495621</v>
      </c>
      <c r="BC75" s="595">
        <f t="shared" si="8"/>
        <v>12.443671644495621</v>
      </c>
      <c r="BD75" s="595">
        <f t="shared" si="8"/>
        <v>12.443671644495621</v>
      </c>
      <c r="BE75" s="595">
        <f t="shared" si="8"/>
        <v>12.443671644495621</v>
      </c>
      <c r="BF75" s="595">
        <f t="shared" si="8"/>
        <v>12.443671644495621</v>
      </c>
      <c r="BG75" s="595">
        <f t="shared" si="8"/>
        <v>12.443671644495621</v>
      </c>
      <c r="BH75" s="595">
        <f t="shared" si="8"/>
        <v>12.443671644495621</v>
      </c>
      <c r="BI75" s="595">
        <f t="shared" si="8"/>
        <v>12.443671644495621</v>
      </c>
    </row>
    <row r="76" spans="1:61">
      <c r="A76" s="118" t="str">
        <f>A47</f>
        <v>Pociągi dużej prędkości</v>
      </c>
      <c r="B76" s="68"/>
      <c r="C76" s="68"/>
      <c r="D76" s="68"/>
      <c r="E76" s="68"/>
      <c r="F76" s="68"/>
      <c r="G76" s="68"/>
      <c r="H76" s="68"/>
      <c r="I76" s="68"/>
      <c r="J76" s="68"/>
      <c r="K76" s="68"/>
      <c r="L76" s="68"/>
      <c r="M76" s="68"/>
      <c r="N76" s="68"/>
      <c r="O76" s="68"/>
      <c r="P76" s="129">
        <f>P47*$B$63</f>
        <v>3.0555555555555558E-2</v>
      </c>
      <c r="Q76" s="627"/>
      <c r="R76" s="627"/>
      <c r="S76" s="627">
        <f t="shared" ref="S76:BI76" si="9">$Q47+$P76*S$35</f>
        <v>21.969444444444445</v>
      </c>
      <c r="T76" s="627">
        <f t="shared" si="9"/>
        <v>20.608495282022165</v>
      </c>
      <c r="U76" s="627">
        <f t="shared" si="9"/>
        <v>20.431917834725645</v>
      </c>
      <c r="V76" s="627">
        <f t="shared" si="9"/>
        <v>20.255340387429122</v>
      </c>
      <c r="W76" s="627">
        <f t="shared" si="9"/>
        <v>20.078762940132602</v>
      </c>
      <c r="X76" s="627">
        <f t="shared" si="9"/>
        <v>19.902185492836079</v>
      </c>
      <c r="Y76" s="627">
        <f t="shared" si="9"/>
        <v>19.725608045539552</v>
      </c>
      <c r="Z76" s="627">
        <f t="shared" si="9"/>
        <v>19.31910719262746</v>
      </c>
      <c r="AA76" s="627">
        <f t="shared" si="9"/>
        <v>18.912606339715371</v>
      </c>
      <c r="AB76" s="627">
        <f t="shared" si="9"/>
        <v>18.506105486803278</v>
      </c>
      <c r="AC76" s="627">
        <f t="shared" si="9"/>
        <v>18.09960463389119</v>
      </c>
      <c r="AD76" s="627">
        <f t="shared" si="9"/>
        <v>17.693103780979097</v>
      </c>
      <c r="AE76" s="627">
        <f t="shared" si="9"/>
        <v>16.882463394991738</v>
      </c>
      <c r="AF76" s="627">
        <f t="shared" si="9"/>
        <v>16.071823009004383</v>
      </c>
      <c r="AG76" s="627">
        <f t="shared" si="9"/>
        <v>15.261182623017024</v>
      </c>
      <c r="AH76" s="627">
        <f t="shared" si="9"/>
        <v>14.450542237029667</v>
      </c>
      <c r="AI76" s="627">
        <f t="shared" si="9"/>
        <v>13.639901851042312</v>
      </c>
      <c r="AJ76" s="627">
        <f t="shared" si="9"/>
        <v>13.193261282324713</v>
      </c>
      <c r="AK76" s="627">
        <f t="shared" si="9"/>
        <v>12.746620713607115</v>
      </c>
      <c r="AL76" s="627">
        <f t="shared" si="9"/>
        <v>12.299980144889515</v>
      </c>
      <c r="AM76" s="627">
        <f t="shared" si="9"/>
        <v>11.853339576171917</v>
      </c>
      <c r="AN76" s="627">
        <f t="shared" si="9"/>
        <v>11.406699007454321</v>
      </c>
      <c r="AO76" s="627">
        <f t="shared" si="9"/>
        <v>11.406699007454321</v>
      </c>
      <c r="AP76" s="627">
        <f t="shared" si="9"/>
        <v>11.406699007454321</v>
      </c>
      <c r="AQ76" s="627">
        <f t="shared" si="9"/>
        <v>11.406699007454321</v>
      </c>
      <c r="AR76" s="627">
        <f t="shared" si="9"/>
        <v>11.406699007454321</v>
      </c>
      <c r="AS76" s="627">
        <f t="shared" si="9"/>
        <v>11.406699007454321</v>
      </c>
      <c r="AT76" s="627">
        <f t="shared" si="9"/>
        <v>11.406699007454321</v>
      </c>
      <c r="AU76" s="627">
        <f t="shared" si="9"/>
        <v>11.406699007454321</v>
      </c>
      <c r="AV76" s="627">
        <f t="shared" si="9"/>
        <v>11.406699007454321</v>
      </c>
      <c r="AW76" s="627">
        <f t="shared" si="9"/>
        <v>11.406699007454321</v>
      </c>
      <c r="AX76" s="627">
        <f t="shared" si="9"/>
        <v>11.406699007454321</v>
      </c>
      <c r="AY76" s="627">
        <f t="shared" si="9"/>
        <v>11.406699007454321</v>
      </c>
      <c r="AZ76" s="627">
        <f t="shared" si="9"/>
        <v>11.406699007454321</v>
      </c>
      <c r="BA76" s="627">
        <f t="shared" si="9"/>
        <v>11.406699007454321</v>
      </c>
      <c r="BB76" s="627">
        <f t="shared" si="9"/>
        <v>11.406699007454321</v>
      </c>
      <c r="BC76" s="627">
        <f t="shared" si="9"/>
        <v>11.406699007454321</v>
      </c>
      <c r="BD76" s="627">
        <f t="shared" si="9"/>
        <v>11.406699007454321</v>
      </c>
      <c r="BE76" s="627">
        <f t="shared" si="9"/>
        <v>11.406699007454321</v>
      </c>
      <c r="BF76" s="627">
        <f t="shared" si="9"/>
        <v>11.406699007454321</v>
      </c>
      <c r="BG76" s="627">
        <f t="shared" si="9"/>
        <v>11.406699007454321</v>
      </c>
      <c r="BH76" s="627">
        <f t="shared" si="9"/>
        <v>11.406699007454321</v>
      </c>
      <c r="BI76" s="627">
        <f t="shared" si="9"/>
        <v>11.406699007454321</v>
      </c>
    </row>
    <row r="77" spans="1:61" s="592" customFormat="1" ht="30.75" thickBot="1">
      <c r="A77" s="583" t="s">
        <v>197</v>
      </c>
      <c r="B77" s="139"/>
      <c r="C77" s="139"/>
      <c r="D77" s="139"/>
      <c r="E77" s="139"/>
      <c r="F77" s="139"/>
      <c r="G77" s="139"/>
      <c r="H77" s="139"/>
      <c r="I77" s="139"/>
      <c r="J77" s="139"/>
      <c r="K77" s="139"/>
      <c r="L77" s="139"/>
      <c r="M77" s="139"/>
      <c r="N77" s="139"/>
      <c r="O77" s="139"/>
      <c r="P77" s="583" t="s">
        <v>455</v>
      </c>
      <c r="Q77" s="583"/>
      <c r="R77" s="583"/>
      <c r="S77" s="583">
        <v>2019</v>
      </c>
      <c r="T77" s="583">
        <f>S77+1</f>
        <v>2020</v>
      </c>
      <c r="U77" s="583">
        <f t="shared" ref="U77:BI77" si="10">T77+1</f>
        <v>2021</v>
      </c>
      <c r="V77" s="583">
        <f t="shared" si="10"/>
        <v>2022</v>
      </c>
      <c r="W77" s="583">
        <f t="shared" si="10"/>
        <v>2023</v>
      </c>
      <c r="X77" s="583">
        <f t="shared" si="10"/>
        <v>2024</v>
      </c>
      <c r="Y77" s="583">
        <f t="shared" si="10"/>
        <v>2025</v>
      </c>
      <c r="Z77" s="583">
        <f t="shared" si="10"/>
        <v>2026</v>
      </c>
      <c r="AA77" s="583">
        <f t="shared" si="10"/>
        <v>2027</v>
      </c>
      <c r="AB77" s="583">
        <f t="shared" si="10"/>
        <v>2028</v>
      </c>
      <c r="AC77" s="583">
        <f t="shared" si="10"/>
        <v>2029</v>
      </c>
      <c r="AD77" s="583">
        <f t="shared" si="10"/>
        <v>2030</v>
      </c>
      <c r="AE77" s="583">
        <f t="shared" si="10"/>
        <v>2031</v>
      </c>
      <c r="AF77" s="583">
        <f t="shared" si="10"/>
        <v>2032</v>
      </c>
      <c r="AG77" s="583">
        <f t="shared" si="10"/>
        <v>2033</v>
      </c>
      <c r="AH77" s="583">
        <f t="shared" si="10"/>
        <v>2034</v>
      </c>
      <c r="AI77" s="583">
        <f t="shared" si="10"/>
        <v>2035</v>
      </c>
      <c r="AJ77" s="583">
        <f t="shared" si="10"/>
        <v>2036</v>
      </c>
      <c r="AK77" s="583">
        <f t="shared" si="10"/>
        <v>2037</v>
      </c>
      <c r="AL77" s="583">
        <f t="shared" si="10"/>
        <v>2038</v>
      </c>
      <c r="AM77" s="583">
        <f t="shared" si="10"/>
        <v>2039</v>
      </c>
      <c r="AN77" s="583">
        <f t="shared" si="10"/>
        <v>2040</v>
      </c>
      <c r="AO77" s="583">
        <f t="shared" si="10"/>
        <v>2041</v>
      </c>
      <c r="AP77" s="583">
        <f t="shared" si="10"/>
        <v>2042</v>
      </c>
      <c r="AQ77" s="583">
        <f t="shared" si="10"/>
        <v>2043</v>
      </c>
      <c r="AR77" s="583">
        <f t="shared" si="10"/>
        <v>2044</v>
      </c>
      <c r="AS77" s="583">
        <f t="shared" si="10"/>
        <v>2045</v>
      </c>
      <c r="AT77" s="583">
        <f t="shared" si="10"/>
        <v>2046</v>
      </c>
      <c r="AU77" s="583">
        <f t="shared" si="10"/>
        <v>2047</v>
      </c>
      <c r="AV77" s="583">
        <f t="shared" si="10"/>
        <v>2048</v>
      </c>
      <c r="AW77" s="583">
        <f t="shared" si="10"/>
        <v>2049</v>
      </c>
      <c r="AX77" s="583">
        <f t="shared" si="10"/>
        <v>2050</v>
      </c>
      <c r="AY77" s="583">
        <f t="shared" si="10"/>
        <v>2051</v>
      </c>
      <c r="AZ77" s="583">
        <f t="shared" si="10"/>
        <v>2052</v>
      </c>
      <c r="BA77" s="583">
        <f t="shared" si="10"/>
        <v>2053</v>
      </c>
      <c r="BB77" s="583">
        <f t="shared" si="10"/>
        <v>2054</v>
      </c>
      <c r="BC77" s="583">
        <f t="shared" si="10"/>
        <v>2055</v>
      </c>
      <c r="BD77" s="583">
        <f t="shared" si="10"/>
        <v>2056</v>
      </c>
      <c r="BE77" s="583">
        <f t="shared" si="10"/>
        <v>2057</v>
      </c>
      <c r="BF77" s="583">
        <f t="shared" si="10"/>
        <v>2058</v>
      </c>
      <c r="BG77" s="583">
        <f t="shared" si="10"/>
        <v>2059</v>
      </c>
      <c r="BH77" s="583">
        <f t="shared" si="10"/>
        <v>2060</v>
      </c>
      <c r="BI77" s="583">
        <f t="shared" si="10"/>
        <v>2061</v>
      </c>
    </row>
    <row r="78" spans="1:61" s="592" customFormat="1">
      <c r="A78" s="584" t="str">
        <f>A73</f>
        <v>Średnio, wszystkie rodzaje</v>
      </c>
      <c r="P78" s="128">
        <f>X44*$B$63</f>
        <v>7.2222222222222229E-2</v>
      </c>
      <c r="Q78" s="595"/>
      <c r="R78" s="595"/>
      <c r="S78" s="628">
        <f>$Y44+$P78*S$35</f>
        <v>70.427777777777777</v>
      </c>
      <c r="T78" s="595">
        <f>$S78</f>
        <v>70.427777777777777</v>
      </c>
      <c r="U78" s="595">
        <f t="shared" ref="U78:BI80" si="11">$S78</f>
        <v>70.427777777777777</v>
      </c>
      <c r="V78" s="595">
        <f t="shared" si="11"/>
        <v>70.427777777777777</v>
      </c>
      <c r="W78" s="595">
        <f t="shared" si="11"/>
        <v>70.427777777777777</v>
      </c>
      <c r="X78" s="595">
        <f t="shared" si="11"/>
        <v>70.427777777777777</v>
      </c>
      <c r="Y78" s="595">
        <f t="shared" si="11"/>
        <v>70.427777777777777</v>
      </c>
      <c r="Z78" s="595">
        <f t="shared" si="11"/>
        <v>70.427777777777777</v>
      </c>
      <c r="AA78" s="595">
        <f t="shared" si="11"/>
        <v>70.427777777777777</v>
      </c>
      <c r="AB78" s="595">
        <f t="shared" si="11"/>
        <v>70.427777777777777</v>
      </c>
      <c r="AC78" s="595">
        <f t="shared" si="11"/>
        <v>70.427777777777777</v>
      </c>
      <c r="AD78" s="595">
        <f t="shared" si="11"/>
        <v>70.427777777777777</v>
      </c>
      <c r="AE78" s="595">
        <f t="shared" si="11"/>
        <v>70.427777777777777</v>
      </c>
      <c r="AF78" s="595">
        <f t="shared" si="11"/>
        <v>70.427777777777777</v>
      </c>
      <c r="AG78" s="595">
        <f t="shared" si="11"/>
        <v>70.427777777777777</v>
      </c>
      <c r="AH78" s="595">
        <f t="shared" si="11"/>
        <v>70.427777777777777</v>
      </c>
      <c r="AI78" s="595">
        <f t="shared" si="11"/>
        <v>70.427777777777777</v>
      </c>
      <c r="AJ78" s="595">
        <f t="shared" si="11"/>
        <v>70.427777777777777</v>
      </c>
      <c r="AK78" s="595">
        <f t="shared" si="11"/>
        <v>70.427777777777777</v>
      </c>
      <c r="AL78" s="595">
        <f t="shared" si="11"/>
        <v>70.427777777777777</v>
      </c>
      <c r="AM78" s="595">
        <f t="shared" si="11"/>
        <v>70.427777777777777</v>
      </c>
      <c r="AN78" s="595">
        <f t="shared" si="11"/>
        <v>70.427777777777777</v>
      </c>
      <c r="AO78" s="595">
        <f t="shared" si="11"/>
        <v>70.427777777777777</v>
      </c>
      <c r="AP78" s="595">
        <f t="shared" si="11"/>
        <v>70.427777777777777</v>
      </c>
      <c r="AQ78" s="595">
        <f t="shared" si="11"/>
        <v>70.427777777777777</v>
      </c>
      <c r="AR78" s="595">
        <f t="shared" si="11"/>
        <v>70.427777777777777</v>
      </c>
      <c r="AS78" s="595">
        <f t="shared" si="11"/>
        <v>70.427777777777777</v>
      </c>
      <c r="AT78" s="595">
        <f t="shared" si="11"/>
        <v>70.427777777777777</v>
      </c>
      <c r="AU78" s="595">
        <f t="shared" si="11"/>
        <v>70.427777777777777</v>
      </c>
      <c r="AV78" s="595">
        <f t="shared" si="11"/>
        <v>70.427777777777777</v>
      </c>
      <c r="AW78" s="595">
        <f t="shared" si="11"/>
        <v>70.427777777777777</v>
      </c>
      <c r="AX78" s="595">
        <f t="shared" si="11"/>
        <v>70.427777777777777</v>
      </c>
      <c r="AY78" s="595">
        <f t="shared" si="11"/>
        <v>70.427777777777777</v>
      </c>
      <c r="AZ78" s="595">
        <f t="shared" si="11"/>
        <v>70.427777777777777</v>
      </c>
      <c r="BA78" s="595">
        <f t="shared" si="11"/>
        <v>70.427777777777777</v>
      </c>
      <c r="BB78" s="595">
        <f t="shared" si="11"/>
        <v>70.427777777777777</v>
      </c>
      <c r="BC78" s="595">
        <f t="shared" si="11"/>
        <v>70.427777777777777</v>
      </c>
      <c r="BD78" s="595">
        <f t="shared" si="11"/>
        <v>70.427777777777777</v>
      </c>
      <c r="BE78" s="595">
        <f t="shared" si="11"/>
        <v>70.427777777777777</v>
      </c>
      <c r="BF78" s="595">
        <f t="shared" si="11"/>
        <v>70.427777777777777</v>
      </c>
      <c r="BG78" s="595">
        <f t="shared" si="11"/>
        <v>70.427777777777777</v>
      </c>
      <c r="BH78" s="595">
        <f t="shared" si="11"/>
        <v>70.427777777777777</v>
      </c>
      <c r="BI78" s="595">
        <f t="shared" si="11"/>
        <v>70.427777777777777</v>
      </c>
    </row>
    <row r="79" spans="1:61" s="592" customFormat="1">
      <c r="A79" s="584" t="str">
        <f>A74</f>
        <v>Regionalne i Podmiejskie</v>
      </c>
      <c r="P79" s="128">
        <f>X45*$B$63</f>
        <v>6.1111111111111116E-2</v>
      </c>
      <c r="Q79" s="595"/>
      <c r="R79" s="595"/>
      <c r="S79" s="596">
        <f>$Y45+$P79*S$35</f>
        <v>59.338888888888889</v>
      </c>
      <c r="T79" s="595">
        <f t="shared" ref="T79:AI80" si="12">$S79</f>
        <v>59.338888888888889</v>
      </c>
      <c r="U79" s="595">
        <f t="shared" si="12"/>
        <v>59.338888888888889</v>
      </c>
      <c r="V79" s="595">
        <f t="shared" si="12"/>
        <v>59.338888888888889</v>
      </c>
      <c r="W79" s="595">
        <f t="shared" si="12"/>
        <v>59.338888888888889</v>
      </c>
      <c r="X79" s="595">
        <f t="shared" si="12"/>
        <v>59.338888888888889</v>
      </c>
      <c r="Y79" s="595">
        <f t="shared" si="12"/>
        <v>59.338888888888889</v>
      </c>
      <c r="Z79" s="595">
        <f t="shared" si="12"/>
        <v>59.338888888888889</v>
      </c>
      <c r="AA79" s="595">
        <f t="shared" si="12"/>
        <v>59.338888888888889</v>
      </c>
      <c r="AB79" s="595">
        <f t="shared" si="12"/>
        <v>59.338888888888889</v>
      </c>
      <c r="AC79" s="595">
        <f t="shared" si="12"/>
        <v>59.338888888888889</v>
      </c>
      <c r="AD79" s="595">
        <f t="shared" si="12"/>
        <v>59.338888888888889</v>
      </c>
      <c r="AE79" s="595">
        <f t="shared" si="12"/>
        <v>59.338888888888889</v>
      </c>
      <c r="AF79" s="595">
        <f t="shared" si="12"/>
        <v>59.338888888888889</v>
      </c>
      <c r="AG79" s="595">
        <f t="shared" si="12"/>
        <v>59.338888888888889</v>
      </c>
      <c r="AH79" s="595">
        <f t="shared" si="12"/>
        <v>59.338888888888889</v>
      </c>
      <c r="AI79" s="595">
        <f t="shared" si="12"/>
        <v>59.338888888888889</v>
      </c>
      <c r="AJ79" s="595">
        <f t="shared" si="11"/>
        <v>59.338888888888889</v>
      </c>
      <c r="AK79" s="595">
        <f t="shared" si="11"/>
        <v>59.338888888888889</v>
      </c>
      <c r="AL79" s="595">
        <f t="shared" si="11"/>
        <v>59.338888888888889</v>
      </c>
      <c r="AM79" s="595">
        <f t="shared" si="11"/>
        <v>59.338888888888889</v>
      </c>
      <c r="AN79" s="595">
        <f t="shared" si="11"/>
        <v>59.338888888888889</v>
      </c>
      <c r="AO79" s="595">
        <f t="shared" si="11"/>
        <v>59.338888888888889</v>
      </c>
      <c r="AP79" s="595">
        <f t="shared" si="11"/>
        <v>59.338888888888889</v>
      </c>
      <c r="AQ79" s="595">
        <f t="shared" si="11"/>
        <v>59.338888888888889</v>
      </c>
      <c r="AR79" s="595">
        <f t="shared" si="11"/>
        <v>59.338888888888889</v>
      </c>
      <c r="AS79" s="595">
        <f t="shared" si="11"/>
        <v>59.338888888888889</v>
      </c>
      <c r="AT79" s="595">
        <f t="shared" si="11"/>
        <v>59.338888888888889</v>
      </c>
      <c r="AU79" s="595">
        <f t="shared" si="11"/>
        <v>59.338888888888889</v>
      </c>
      <c r="AV79" s="595">
        <f t="shared" si="11"/>
        <v>59.338888888888889</v>
      </c>
      <c r="AW79" s="595">
        <f t="shared" si="11"/>
        <v>59.338888888888889</v>
      </c>
      <c r="AX79" s="595">
        <f t="shared" si="11"/>
        <v>59.338888888888889</v>
      </c>
      <c r="AY79" s="595">
        <f t="shared" si="11"/>
        <v>59.338888888888889</v>
      </c>
      <c r="AZ79" s="595">
        <f t="shared" si="11"/>
        <v>59.338888888888889</v>
      </c>
      <c r="BA79" s="595">
        <f t="shared" si="11"/>
        <v>59.338888888888889</v>
      </c>
      <c r="BB79" s="595">
        <f t="shared" si="11"/>
        <v>59.338888888888889</v>
      </c>
      <c r="BC79" s="595">
        <f t="shared" si="11"/>
        <v>59.338888888888889</v>
      </c>
      <c r="BD79" s="595">
        <f t="shared" si="11"/>
        <v>59.338888888888889</v>
      </c>
      <c r="BE79" s="595">
        <f t="shared" si="11"/>
        <v>59.338888888888889</v>
      </c>
      <c r="BF79" s="595">
        <f t="shared" si="11"/>
        <v>59.338888888888889</v>
      </c>
      <c r="BG79" s="595">
        <f t="shared" si="11"/>
        <v>59.338888888888889</v>
      </c>
      <c r="BH79" s="595">
        <f t="shared" si="11"/>
        <v>59.338888888888889</v>
      </c>
      <c r="BI79" s="595">
        <f t="shared" si="11"/>
        <v>59.338888888888889</v>
      </c>
    </row>
    <row r="80" spans="1:61" s="592" customFormat="1">
      <c r="A80" s="584" t="str">
        <f>A75</f>
        <v>Międzyaglomeracyjne</v>
      </c>
      <c r="P80" s="128">
        <f>X46*$B$63</f>
        <v>8.611111111111111E-2</v>
      </c>
      <c r="Q80" s="595"/>
      <c r="R80" s="595"/>
      <c r="S80" s="629">
        <f>$Y46+$P80*S$35</f>
        <v>83.613888888888894</v>
      </c>
      <c r="T80" s="595">
        <f t="shared" si="12"/>
        <v>83.613888888888894</v>
      </c>
      <c r="U80" s="595">
        <f t="shared" si="11"/>
        <v>83.613888888888894</v>
      </c>
      <c r="V80" s="595">
        <f t="shared" si="11"/>
        <v>83.613888888888894</v>
      </c>
      <c r="W80" s="595">
        <f t="shared" si="11"/>
        <v>83.613888888888894</v>
      </c>
      <c r="X80" s="595">
        <f t="shared" si="11"/>
        <v>83.613888888888894</v>
      </c>
      <c r="Y80" s="595">
        <f t="shared" si="11"/>
        <v>83.613888888888894</v>
      </c>
      <c r="Z80" s="595">
        <f t="shared" si="11"/>
        <v>83.613888888888894</v>
      </c>
      <c r="AA80" s="595">
        <f t="shared" si="11"/>
        <v>83.613888888888894</v>
      </c>
      <c r="AB80" s="595">
        <f t="shared" si="11"/>
        <v>83.613888888888894</v>
      </c>
      <c r="AC80" s="595">
        <f t="shared" si="11"/>
        <v>83.613888888888894</v>
      </c>
      <c r="AD80" s="595">
        <f t="shared" si="11"/>
        <v>83.613888888888894</v>
      </c>
      <c r="AE80" s="595">
        <f t="shared" si="11"/>
        <v>83.613888888888894</v>
      </c>
      <c r="AF80" s="595">
        <f t="shared" si="11"/>
        <v>83.613888888888894</v>
      </c>
      <c r="AG80" s="595">
        <f t="shared" si="11"/>
        <v>83.613888888888894</v>
      </c>
      <c r="AH80" s="595">
        <f t="shared" si="11"/>
        <v>83.613888888888894</v>
      </c>
      <c r="AI80" s="595">
        <f t="shared" si="11"/>
        <v>83.613888888888894</v>
      </c>
      <c r="AJ80" s="595">
        <f t="shared" si="11"/>
        <v>83.613888888888894</v>
      </c>
      <c r="AK80" s="595">
        <f t="shared" si="11"/>
        <v>83.613888888888894</v>
      </c>
      <c r="AL80" s="595">
        <f t="shared" si="11"/>
        <v>83.613888888888894</v>
      </c>
      <c r="AM80" s="595">
        <f t="shared" si="11"/>
        <v>83.613888888888894</v>
      </c>
      <c r="AN80" s="595">
        <f t="shared" si="11"/>
        <v>83.613888888888894</v>
      </c>
      <c r="AO80" s="595">
        <f t="shared" si="11"/>
        <v>83.613888888888894</v>
      </c>
      <c r="AP80" s="595">
        <f t="shared" si="11"/>
        <v>83.613888888888894</v>
      </c>
      <c r="AQ80" s="595">
        <f t="shared" si="11"/>
        <v>83.613888888888894</v>
      </c>
      <c r="AR80" s="595">
        <f t="shared" si="11"/>
        <v>83.613888888888894</v>
      </c>
      <c r="AS80" s="595">
        <f t="shared" si="11"/>
        <v>83.613888888888894</v>
      </c>
      <c r="AT80" s="595">
        <f t="shared" si="11"/>
        <v>83.613888888888894</v>
      </c>
      <c r="AU80" s="595">
        <f t="shared" si="11"/>
        <v>83.613888888888894</v>
      </c>
      <c r="AV80" s="595">
        <f t="shared" si="11"/>
        <v>83.613888888888894</v>
      </c>
      <c r="AW80" s="595">
        <f t="shared" si="11"/>
        <v>83.613888888888894</v>
      </c>
      <c r="AX80" s="595">
        <f t="shared" si="11"/>
        <v>83.613888888888894</v>
      </c>
      <c r="AY80" s="595">
        <f t="shared" si="11"/>
        <v>83.613888888888894</v>
      </c>
      <c r="AZ80" s="595">
        <f t="shared" si="11"/>
        <v>83.613888888888894</v>
      </c>
      <c r="BA80" s="595">
        <f t="shared" si="11"/>
        <v>83.613888888888894</v>
      </c>
      <c r="BB80" s="595">
        <f t="shared" si="11"/>
        <v>83.613888888888894</v>
      </c>
      <c r="BC80" s="595">
        <f t="shared" si="11"/>
        <v>83.613888888888894</v>
      </c>
      <c r="BD80" s="595">
        <f t="shared" si="11"/>
        <v>83.613888888888894</v>
      </c>
      <c r="BE80" s="595">
        <f t="shared" si="11"/>
        <v>83.613888888888894</v>
      </c>
      <c r="BF80" s="595">
        <f t="shared" si="11"/>
        <v>83.613888888888894</v>
      </c>
      <c r="BG80" s="595">
        <f t="shared" si="11"/>
        <v>83.613888888888894</v>
      </c>
      <c r="BH80" s="595">
        <f t="shared" si="11"/>
        <v>83.613888888888894</v>
      </c>
      <c r="BI80" s="595">
        <f t="shared" si="11"/>
        <v>83.613888888888894</v>
      </c>
    </row>
    <row r="81" spans="1:61" s="592" customFormat="1">
      <c r="A81" s="585" t="str">
        <f>A76</f>
        <v>Pociągi dużej prędkości</v>
      </c>
      <c r="B81" s="587"/>
      <c r="C81" s="587"/>
      <c r="D81" s="587"/>
      <c r="E81" s="587"/>
      <c r="F81" s="587"/>
      <c r="G81" s="587"/>
      <c r="H81" s="587"/>
      <c r="I81" s="587"/>
      <c r="J81" s="587"/>
      <c r="K81" s="587"/>
      <c r="L81" s="587"/>
      <c r="M81" s="587"/>
      <c r="N81" s="587"/>
      <c r="O81" s="587"/>
      <c r="P81" s="134"/>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2"/>
      <c r="AO81" s="132"/>
      <c r="AP81" s="132"/>
      <c r="AQ81" s="132"/>
      <c r="AR81" s="132"/>
      <c r="AS81" s="132"/>
      <c r="AT81" s="132"/>
      <c r="AU81" s="132"/>
      <c r="AV81" s="132"/>
      <c r="AW81" s="132"/>
      <c r="AX81" s="132"/>
      <c r="AY81" s="132"/>
      <c r="AZ81" s="132"/>
      <c r="BA81" s="132"/>
      <c r="BB81" s="132"/>
      <c r="BC81" s="132"/>
      <c r="BD81" s="132"/>
      <c r="BE81" s="132"/>
      <c r="BF81" s="132"/>
      <c r="BG81" s="132"/>
      <c r="BH81" s="132"/>
      <c r="BI81" s="132"/>
    </row>
    <row r="82" spans="1:61" s="592" customFormat="1">
      <c r="A82" s="76"/>
    </row>
    <row r="83" spans="1:61" s="592" customFormat="1" ht="30.75" customHeight="1">
      <c r="A83" s="832" t="s">
        <v>57</v>
      </c>
      <c r="B83" s="590"/>
      <c r="C83" s="590"/>
      <c r="D83" s="590"/>
      <c r="E83" s="590"/>
      <c r="F83" s="590"/>
      <c r="G83" s="590"/>
      <c r="H83" s="590"/>
      <c r="I83" s="590"/>
      <c r="J83" s="590"/>
      <c r="K83" s="590"/>
      <c r="L83" s="590"/>
      <c r="M83" s="590"/>
      <c r="N83" s="590"/>
      <c r="O83" s="590"/>
      <c r="P83" s="823" t="s">
        <v>99</v>
      </c>
      <c r="Q83" s="590"/>
      <c r="R83" s="590"/>
      <c r="S83" s="590" t="s">
        <v>687</v>
      </c>
      <c r="T83" s="590"/>
      <c r="U83" s="590"/>
      <c r="V83" s="590"/>
      <c r="W83" s="590"/>
      <c r="X83" s="590"/>
      <c r="Y83" s="590"/>
      <c r="Z83" s="590"/>
      <c r="AA83" s="590"/>
      <c r="AB83" s="590"/>
      <c r="AC83" s="590"/>
      <c r="AD83" s="590"/>
      <c r="AE83" s="590"/>
      <c r="AF83" s="590"/>
      <c r="AG83" s="590"/>
      <c r="AH83" s="590"/>
      <c r="AI83" s="590"/>
      <c r="AJ83" s="590"/>
      <c r="AK83" s="590"/>
      <c r="AL83" s="590"/>
      <c r="AM83" s="590"/>
      <c r="AN83" s="590"/>
      <c r="AO83" s="590"/>
      <c r="AP83" s="590"/>
      <c r="AQ83" s="590"/>
      <c r="AR83" s="590"/>
      <c r="AS83" s="590"/>
      <c r="AT83" s="590"/>
      <c r="AU83" s="590"/>
      <c r="AV83" s="590"/>
      <c r="AW83" s="590"/>
      <c r="AX83" s="590"/>
      <c r="AY83" s="590"/>
      <c r="AZ83" s="590"/>
      <c r="BA83" s="590"/>
      <c r="BB83" s="590"/>
      <c r="BC83" s="590"/>
      <c r="BD83" s="590"/>
      <c r="BE83" s="590"/>
      <c r="BF83" s="590"/>
      <c r="BG83" s="590"/>
      <c r="BH83" s="590"/>
      <c r="BI83" s="590"/>
    </row>
    <row r="84" spans="1:61" ht="30" customHeight="1" thickBot="1">
      <c r="A84" s="826"/>
      <c r="B84" s="583"/>
      <c r="C84" s="583"/>
      <c r="D84" s="583"/>
      <c r="E84" s="583"/>
      <c r="F84" s="583"/>
      <c r="G84" s="583"/>
      <c r="H84" s="583"/>
      <c r="I84" s="583"/>
      <c r="J84" s="583"/>
      <c r="K84" s="583"/>
      <c r="L84" s="583"/>
      <c r="M84" s="583"/>
      <c r="N84" s="583"/>
      <c r="O84" s="583"/>
      <c r="P84" s="824"/>
      <c r="Q84" s="583"/>
      <c r="R84" s="583"/>
      <c r="S84" s="583">
        <v>2019</v>
      </c>
      <c r="T84" s="583">
        <f>S84+1</f>
        <v>2020</v>
      </c>
      <c r="U84" s="583">
        <f t="shared" ref="U84" si="13">T84+1</f>
        <v>2021</v>
      </c>
      <c r="V84" s="583">
        <f t="shared" ref="V84" si="14">U84+1</f>
        <v>2022</v>
      </c>
      <c r="W84" s="583">
        <f t="shared" ref="W84" si="15">V84+1</f>
        <v>2023</v>
      </c>
      <c r="X84" s="583">
        <f t="shared" ref="X84" si="16">W84+1</f>
        <v>2024</v>
      </c>
      <c r="Y84" s="583">
        <f t="shared" ref="Y84" si="17">X84+1</f>
        <v>2025</v>
      </c>
      <c r="Z84" s="583">
        <f t="shared" ref="Z84" si="18">Y84+1</f>
        <v>2026</v>
      </c>
      <c r="AA84" s="583">
        <f t="shared" ref="AA84" si="19">Z84+1</f>
        <v>2027</v>
      </c>
      <c r="AB84" s="583">
        <f t="shared" ref="AB84" si="20">AA84+1</f>
        <v>2028</v>
      </c>
      <c r="AC84" s="583">
        <f t="shared" ref="AC84" si="21">AB84+1</f>
        <v>2029</v>
      </c>
      <c r="AD84" s="583">
        <f t="shared" ref="AD84" si="22">AC84+1</f>
        <v>2030</v>
      </c>
      <c r="AE84" s="583">
        <f t="shared" ref="AE84" si="23">AD84+1</f>
        <v>2031</v>
      </c>
      <c r="AF84" s="583">
        <f t="shared" ref="AF84" si="24">AE84+1</f>
        <v>2032</v>
      </c>
      <c r="AG84" s="583">
        <f t="shared" ref="AG84" si="25">AF84+1</f>
        <v>2033</v>
      </c>
      <c r="AH84" s="583">
        <f t="shared" ref="AH84" si="26">AG84+1</f>
        <v>2034</v>
      </c>
      <c r="AI84" s="583">
        <f t="shared" ref="AI84" si="27">AH84+1</f>
        <v>2035</v>
      </c>
      <c r="AJ84" s="583">
        <f t="shared" ref="AJ84" si="28">AI84+1</f>
        <v>2036</v>
      </c>
      <c r="AK84" s="583">
        <f t="shared" ref="AK84" si="29">AJ84+1</f>
        <v>2037</v>
      </c>
      <c r="AL84" s="583">
        <f t="shared" ref="AL84" si="30">AK84+1</f>
        <v>2038</v>
      </c>
      <c r="AM84" s="583">
        <f t="shared" ref="AM84" si="31">AL84+1</f>
        <v>2039</v>
      </c>
      <c r="AN84" s="583">
        <f t="shared" ref="AN84" si="32">AM84+1</f>
        <v>2040</v>
      </c>
      <c r="AO84" s="583">
        <f t="shared" ref="AO84" si="33">AN84+1</f>
        <v>2041</v>
      </c>
      <c r="AP84" s="583">
        <f t="shared" ref="AP84" si="34">AO84+1</f>
        <v>2042</v>
      </c>
      <c r="AQ84" s="583">
        <f t="shared" ref="AQ84" si="35">AP84+1</f>
        <v>2043</v>
      </c>
      <c r="AR84" s="583">
        <f t="shared" ref="AR84" si="36">AQ84+1</f>
        <v>2044</v>
      </c>
      <c r="AS84" s="583">
        <f t="shared" ref="AS84" si="37">AR84+1</f>
        <v>2045</v>
      </c>
      <c r="AT84" s="583">
        <f t="shared" ref="AT84" si="38">AS84+1</f>
        <v>2046</v>
      </c>
      <c r="AU84" s="583">
        <f t="shared" ref="AU84" si="39">AT84+1</f>
        <v>2047</v>
      </c>
      <c r="AV84" s="583">
        <f t="shared" ref="AV84" si="40">AU84+1</f>
        <v>2048</v>
      </c>
      <c r="AW84" s="583">
        <f t="shared" ref="AW84" si="41">AV84+1</f>
        <v>2049</v>
      </c>
      <c r="AX84" s="583">
        <f t="shared" ref="AX84" si="42">AW84+1</f>
        <v>2050</v>
      </c>
      <c r="AY84" s="583">
        <f t="shared" ref="AY84" si="43">AX84+1</f>
        <v>2051</v>
      </c>
      <c r="AZ84" s="583">
        <f t="shared" ref="AZ84" si="44">AY84+1</f>
        <v>2052</v>
      </c>
      <c r="BA84" s="583">
        <f t="shared" ref="BA84" si="45">AZ84+1</f>
        <v>2053</v>
      </c>
      <c r="BB84" s="583">
        <f t="shared" ref="BB84" si="46">BA84+1</f>
        <v>2054</v>
      </c>
      <c r="BC84" s="583">
        <f t="shared" ref="BC84" si="47">BB84+1</f>
        <v>2055</v>
      </c>
      <c r="BD84" s="583">
        <f t="shared" ref="BD84" si="48">BC84+1</f>
        <v>2056</v>
      </c>
      <c r="BE84" s="583">
        <f t="shared" ref="BE84" si="49">BD84+1</f>
        <v>2057</v>
      </c>
      <c r="BF84" s="583">
        <f t="shared" ref="BF84" si="50">BE84+1</f>
        <v>2058</v>
      </c>
      <c r="BG84" s="583">
        <f t="shared" ref="BG84" si="51">BF84+1</f>
        <v>2059</v>
      </c>
      <c r="BH84" s="583">
        <f t="shared" ref="BH84" si="52">BG84+1</f>
        <v>2060</v>
      </c>
      <c r="BI84" s="583">
        <f t="shared" ref="BI84" si="53">BH84+1</f>
        <v>2061</v>
      </c>
    </row>
    <row r="85" spans="1:61" ht="30">
      <c r="A85" s="112" t="str">
        <f>A54</f>
        <v>Średnio, wszystkie rodzaje 
(1000t - 21 wagonów)</v>
      </c>
      <c r="P85" s="128">
        <f>P54*$B$63</f>
        <v>16.611111111111111</v>
      </c>
      <c r="Q85" s="595"/>
      <c r="R85" s="595"/>
      <c r="S85" s="595">
        <f t="shared" ref="S85:BI85" si="54">$Q54+$P85*S$35</f>
        <v>11943.388888888889</v>
      </c>
      <c r="T85" s="595">
        <f t="shared" si="54"/>
        <v>11203.527435135686</v>
      </c>
      <c r="U85" s="595">
        <f t="shared" si="54"/>
        <v>11107.533513787213</v>
      </c>
      <c r="V85" s="595">
        <f t="shared" si="54"/>
        <v>11011.539592438739</v>
      </c>
      <c r="W85" s="595">
        <f t="shared" si="54"/>
        <v>10915.545671090267</v>
      </c>
      <c r="X85" s="595">
        <f t="shared" si="54"/>
        <v>10819.551749741795</v>
      </c>
      <c r="Y85" s="595">
        <f t="shared" si="54"/>
        <v>10723.557828393317</v>
      </c>
      <c r="Z85" s="595">
        <f t="shared" si="54"/>
        <v>10502.569182901108</v>
      </c>
      <c r="AA85" s="595">
        <f t="shared" si="54"/>
        <v>10281.5805374089</v>
      </c>
      <c r="AB85" s="595">
        <f t="shared" si="54"/>
        <v>10060.591891916691</v>
      </c>
      <c r="AC85" s="595">
        <f t="shared" si="54"/>
        <v>9839.6032464244818</v>
      </c>
      <c r="AD85" s="595">
        <f t="shared" si="54"/>
        <v>9618.6146009322711</v>
      </c>
      <c r="AE85" s="595">
        <f t="shared" si="54"/>
        <v>9177.9210092773264</v>
      </c>
      <c r="AF85" s="595">
        <f t="shared" si="54"/>
        <v>8737.2274176223818</v>
      </c>
      <c r="AG85" s="595">
        <f t="shared" si="54"/>
        <v>8296.5338259674354</v>
      </c>
      <c r="AH85" s="595">
        <f t="shared" si="54"/>
        <v>7855.8402343124908</v>
      </c>
      <c r="AI85" s="595">
        <f t="shared" si="54"/>
        <v>7415.1466426575471</v>
      </c>
      <c r="AJ85" s="595">
        <f t="shared" si="54"/>
        <v>7172.3365880274341</v>
      </c>
      <c r="AK85" s="595">
        <f t="shared" si="54"/>
        <v>6929.5265333973221</v>
      </c>
      <c r="AL85" s="595">
        <f t="shared" si="54"/>
        <v>6686.7164787672091</v>
      </c>
      <c r="AM85" s="595">
        <f t="shared" si="54"/>
        <v>6443.9064241370961</v>
      </c>
      <c r="AN85" s="595">
        <f t="shared" si="54"/>
        <v>6201.096369506984</v>
      </c>
      <c r="AO85" s="595">
        <f t="shared" si="54"/>
        <v>6201.096369506984</v>
      </c>
      <c r="AP85" s="595">
        <f t="shared" si="54"/>
        <v>6201.096369506984</v>
      </c>
      <c r="AQ85" s="595">
        <f t="shared" si="54"/>
        <v>6201.096369506984</v>
      </c>
      <c r="AR85" s="595">
        <f t="shared" si="54"/>
        <v>6201.096369506984</v>
      </c>
      <c r="AS85" s="595">
        <f t="shared" si="54"/>
        <v>6201.096369506984</v>
      </c>
      <c r="AT85" s="595">
        <f t="shared" si="54"/>
        <v>6201.096369506984</v>
      </c>
      <c r="AU85" s="595">
        <f t="shared" si="54"/>
        <v>6201.096369506984</v>
      </c>
      <c r="AV85" s="595">
        <f t="shared" si="54"/>
        <v>6201.096369506984</v>
      </c>
      <c r="AW85" s="595">
        <f t="shared" si="54"/>
        <v>6201.096369506984</v>
      </c>
      <c r="AX85" s="595">
        <f t="shared" si="54"/>
        <v>6201.096369506984</v>
      </c>
      <c r="AY85" s="595">
        <f t="shared" si="54"/>
        <v>6201.096369506984</v>
      </c>
      <c r="AZ85" s="595">
        <f t="shared" si="54"/>
        <v>6201.096369506984</v>
      </c>
      <c r="BA85" s="595">
        <f t="shared" si="54"/>
        <v>6201.096369506984</v>
      </c>
      <c r="BB85" s="595">
        <f t="shared" si="54"/>
        <v>6201.096369506984</v>
      </c>
      <c r="BC85" s="595">
        <f t="shared" si="54"/>
        <v>6201.096369506984</v>
      </c>
      <c r="BD85" s="595">
        <f t="shared" si="54"/>
        <v>6201.096369506984</v>
      </c>
      <c r="BE85" s="595">
        <f t="shared" si="54"/>
        <v>6201.096369506984</v>
      </c>
      <c r="BF85" s="595">
        <f t="shared" si="54"/>
        <v>6201.096369506984</v>
      </c>
      <c r="BG85" s="595">
        <f t="shared" si="54"/>
        <v>6201.096369506984</v>
      </c>
      <c r="BH85" s="595">
        <f t="shared" si="54"/>
        <v>6201.096369506984</v>
      </c>
      <c r="BI85" s="595">
        <f t="shared" si="54"/>
        <v>6201.096369506984</v>
      </c>
    </row>
    <row r="86" spans="1:61" ht="30">
      <c r="A86" s="112" t="str">
        <f>A55</f>
        <v>Masowe 
(1000t - 18 wagonów)</v>
      </c>
      <c r="P86" s="128">
        <f>P55*$B$63</f>
        <v>16.611111111111111</v>
      </c>
      <c r="Q86" s="595"/>
      <c r="R86" s="595"/>
      <c r="S86" s="595">
        <f t="shared" ref="S86:BI86" si="55">$Q55+$P86*S$35</f>
        <v>11943.388888888889</v>
      </c>
      <c r="T86" s="595">
        <f t="shared" si="55"/>
        <v>11203.527435135686</v>
      </c>
      <c r="U86" s="595">
        <f t="shared" si="55"/>
        <v>11107.533513787213</v>
      </c>
      <c r="V86" s="595">
        <f t="shared" si="55"/>
        <v>11011.539592438739</v>
      </c>
      <c r="W86" s="595">
        <f t="shared" si="55"/>
        <v>10915.545671090267</v>
      </c>
      <c r="X86" s="595">
        <f t="shared" si="55"/>
        <v>10819.551749741795</v>
      </c>
      <c r="Y86" s="595">
        <f t="shared" si="55"/>
        <v>10723.557828393317</v>
      </c>
      <c r="Z86" s="595">
        <f t="shared" si="55"/>
        <v>10502.569182901108</v>
      </c>
      <c r="AA86" s="595">
        <f t="shared" si="55"/>
        <v>10281.5805374089</v>
      </c>
      <c r="AB86" s="595">
        <f t="shared" si="55"/>
        <v>10060.591891916691</v>
      </c>
      <c r="AC86" s="595">
        <f t="shared" si="55"/>
        <v>9839.6032464244818</v>
      </c>
      <c r="AD86" s="595">
        <f t="shared" si="55"/>
        <v>9618.6146009322711</v>
      </c>
      <c r="AE86" s="595">
        <f t="shared" si="55"/>
        <v>9177.9210092773264</v>
      </c>
      <c r="AF86" s="595">
        <f t="shared" si="55"/>
        <v>8737.2274176223818</v>
      </c>
      <c r="AG86" s="595">
        <f t="shared" si="55"/>
        <v>8296.5338259674354</v>
      </c>
      <c r="AH86" s="595">
        <f t="shared" si="55"/>
        <v>7855.8402343124908</v>
      </c>
      <c r="AI86" s="595">
        <f t="shared" si="55"/>
        <v>7415.1466426575471</v>
      </c>
      <c r="AJ86" s="595">
        <f t="shared" si="55"/>
        <v>7172.3365880274341</v>
      </c>
      <c r="AK86" s="595">
        <f t="shared" si="55"/>
        <v>6929.5265333973221</v>
      </c>
      <c r="AL86" s="595">
        <f t="shared" si="55"/>
        <v>6686.7164787672091</v>
      </c>
      <c r="AM86" s="595">
        <f t="shared" si="55"/>
        <v>6443.9064241370961</v>
      </c>
      <c r="AN86" s="595">
        <f t="shared" si="55"/>
        <v>6201.096369506984</v>
      </c>
      <c r="AO86" s="595">
        <f t="shared" si="55"/>
        <v>6201.096369506984</v>
      </c>
      <c r="AP86" s="595">
        <f t="shared" si="55"/>
        <v>6201.096369506984</v>
      </c>
      <c r="AQ86" s="595">
        <f t="shared" si="55"/>
        <v>6201.096369506984</v>
      </c>
      <c r="AR86" s="595">
        <f t="shared" si="55"/>
        <v>6201.096369506984</v>
      </c>
      <c r="AS86" s="595">
        <f t="shared" si="55"/>
        <v>6201.096369506984</v>
      </c>
      <c r="AT86" s="595">
        <f t="shared" si="55"/>
        <v>6201.096369506984</v>
      </c>
      <c r="AU86" s="595">
        <f t="shared" si="55"/>
        <v>6201.096369506984</v>
      </c>
      <c r="AV86" s="595">
        <f t="shared" si="55"/>
        <v>6201.096369506984</v>
      </c>
      <c r="AW86" s="595">
        <f t="shared" si="55"/>
        <v>6201.096369506984</v>
      </c>
      <c r="AX86" s="595">
        <f t="shared" si="55"/>
        <v>6201.096369506984</v>
      </c>
      <c r="AY86" s="595">
        <f t="shared" si="55"/>
        <v>6201.096369506984</v>
      </c>
      <c r="AZ86" s="595">
        <f t="shared" si="55"/>
        <v>6201.096369506984</v>
      </c>
      <c r="BA86" s="595">
        <f t="shared" si="55"/>
        <v>6201.096369506984</v>
      </c>
      <c r="BB86" s="595">
        <f t="shared" si="55"/>
        <v>6201.096369506984</v>
      </c>
      <c r="BC86" s="595">
        <f t="shared" si="55"/>
        <v>6201.096369506984</v>
      </c>
      <c r="BD86" s="595">
        <f t="shared" si="55"/>
        <v>6201.096369506984</v>
      </c>
      <c r="BE86" s="595">
        <f t="shared" si="55"/>
        <v>6201.096369506984</v>
      </c>
      <c r="BF86" s="595">
        <f t="shared" si="55"/>
        <v>6201.096369506984</v>
      </c>
      <c r="BG86" s="595">
        <f t="shared" si="55"/>
        <v>6201.096369506984</v>
      </c>
      <c r="BH86" s="595">
        <f t="shared" si="55"/>
        <v>6201.096369506984</v>
      </c>
      <c r="BI86" s="595">
        <f t="shared" si="55"/>
        <v>6201.096369506984</v>
      </c>
    </row>
    <row r="87" spans="1:61" ht="30">
      <c r="A87" s="112" t="str">
        <f>A56</f>
        <v>Gabarytowe 
(1000t - 26 wagonów)</v>
      </c>
      <c r="P87" s="128">
        <f>P56*$B$63</f>
        <v>16.611111111111111</v>
      </c>
      <c r="Q87" s="595"/>
      <c r="R87" s="595"/>
      <c r="S87" s="595">
        <f t="shared" ref="S87:BI87" si="56">$Q56+$P87*S$35</f>
        <v>11943.388888888889</v>
      </c>
      <c r="T87" s="595">
        <f t="shared" si="56"/>
        <v>11203.527435135686</v>
      </c>
      <c r="U87" s="595">
        <f t="shared" si="56"/>
        <v>11107.533513787213</v>
      </c>
      <c r="V87" s="595">
        <f t="shared" si="56"/>
        <v>11011.539592438739</v>
      </c>
      <c r="W87" s="595">
        <f t="shared" si="56"/>
        <v>10915.545671090267</v>
      </c>
      <c r="X87" s="595">
        <f t="shared" si="56"/>
        <v>10819.551749741795</v>
      </c>
      <c r="Y87" s="595">
        <f t="shared" si="56"/>
        <v>10723.557828393317</v>
      </c>
      <c r="Z87" s="595">
        <f t="shared" si="56"/>
        <v>10502.569182901108</v>
      </c>
      <c r="AA87" s="595">
        <f t="shared" si="56"/>
        <v>10281.5805374089</v>
      </c>
      <c r="AB87" s="595">
        <f t="shared" si="56"/>
        <v>10060.591891916691</v>
      </c>
      <c r="AC87" s="595">
        <f t="shared" si="56"/>
        <v>9839.6032464244818</v>
      </c>
      <c r="AD87" s="595">
        <f t="shared" si="56"/>
        <v>9618.6146009322711</v>
      </c>
      <c r="AE87" s="595">
        <f t="shared" si="56"/>
        <v>9177.9210092773264</v>
      </c>
      <c r="AF87" s="595">
        <f t="shared" si="56"/>
        <v>8737.2274176223818</v>
      </c>
      <c r="AG87" s="595">
        <f t="shared" si="56"/>
        <v>8296.5338259674354</v>
      </c>
      <c r="AH87" s="595">
        <f t="shared" si="56"/>
        <v>7855.8402343124908</v>
      </c>
      <c r="AI87" s="595">
        <f t="shared" si="56"/>
        <v>7415.1466426575471</v>
      </c>
      <c r="AJ87" s="595">
        <f t="shared" si="56"/>
        <v>7172.3365880274341</v>
      </c>
      <c r="AK87" s="595">
        <f t="shared" si="56"/>
        <v>6929.5265333973221</v>
      </c>
      <c r="AL87" s="595">
        <f t="shared" si="56"/>
        <v>6686.7164787672091</v>
      </c>
      <c r="AM87" s="595">
        <f t="shared" si="56"/>
        <v>6443.9064241370961</v>
      </c>
      <c r="AN87" s="595">
        <f t="shared" si="56"/>
        <v>6201.096369506984</v>
      </c>
      <c r="AO87" s="595">
        <f t="shared" si="56"/>
        <v>6201.096369506984</v>
      </c>
      <c r="AP87" s="595">
        <f t="shared" si="56"/>
        <v>6201.096369506984</v>
      </c>
      <c r="AQ87" s="595">
        <f t="shared" si="56"/>
        <v>6201.096369506984</v>
      </c>
      <c r="AR87" s="595">
        <f t="shared" si="56"/>
        <v>6201.096369506984</v>
      </c>
      <c r="AS87" s="595">
        <f t="shared" si="56"/>
        <v>6201.096369506984</v>
      </c>
      <c r="AT87" s="595">
        <f t="shared" si="56"/>
        <v>6201.096369506984</v>
      </c>
      <c r="AU87" s="595">
        <f t="shared" si="56"/>
        <v>6201.096369506984</v>
      </c>
      <c r="AV87" s="595">
        <f t="shared" si="56"/>
        <v>6201.096369506984</v>
      </c>
      <c r="AW87" s="595">
        <f t="shared" si="56"/>
        <v>6201.096369506984</v>
      </c>
      <c r="AX87" s="595">
        <f t="shared" si="56"/>
        <v>6201.096369506984</v>
      </c>
      <c r="AY87" s="595">
        <f t="shared" si="56"/>
        <v>6201.096369506984</v>
      </c>
      <c r="AZ87" s="595">
        <f t="shared" si="56"/>
        <v>6201.096369506984</v>
      </c>
      <c r="BA87" s="595">
        <f t="shared" si="56"/>
        <v>6201.096369506984</v>
      </c>
      <c r="BB87" s="595">
        <f t="shared" si="56"/>
        <v>6201.096369506984</v>
      </c>
      <c r="BC87" s="595">
        <f t="shared" si="56"/>
        <v>6201.096369506984</v>
      </c>
      <c r="BD87" s="595">
        <f t="shared" si="56"/>
        <v>6201.096369506984</v>
      </c>
      <c r="BE87" s="595">
        <f t="shared" si="56"/>
        <v>6201.096369506984</v>
      </c>
      <c r="BF87" s="595">
        <f t="shared" si="56"/>
        <v>6201.096369506984</v>
      </c>
      <c r="BG87" s="595">
        <f t="shared" si="56"/>
        <v>6201.096369506984</v>
      </c>
      <c r="BH87" s="595">
        <f t="shared" si="56"/>
        <v>6201.096369506984</v>
      </c>
      <c r="BI87" s="595">
        <f t="shared" si="56"/>
        <v>6201.096369506984</v>
      </c>
    </row>
    <row r="88" spans="1:61" ht="30">
      <c r="A88" s="118" t="str">
        <f>A57</f>
        <v>Kontenerowe 
(1000t - 21 wagonów)</v>
      </c>
      <c r="B88" s="68"/>
      <c r="C88" s="68"/>
      <c r="D88" s="68"/>
      <c r="E88" s="68"/>
      <c r="F88" s="68"/>
      <c r="G88" s="68"/>
      <c r="H88" s="68"/>
      <c r="I88" s="68"/>
      <c r="J88" s="68"/>
      <c r="K88" s="68"/>
      <c r="L88" s="68"/>
      <c r="M88" s="68"/>
      <c r="N88" s="68"/>
      <c r="O88" s="68"/>
      <c r="P88" s="129">
        <f>P57*$B$63</f>
        <v>16.611111111111111</v>
      </c>
      <c r="Q88" s="627"/>
      <c r="R88" s="627"/>
      <c r="S88" s="627">
        <f t="shared" ref="S88:BI88" si="57">$Q57+$P88*S$35</f>
        <v>11943.388888888889</v>
      </c>
      <c r="T88" s="627">
        <f t="shared" si="57"/>
        <v>11203.527435135686</v>
      </c>
      <c r="U88" s="627">
        <f t="shared" si="57"/>
        <v>11107.533513787213</v>
      </c>
      <c r="V88" s="627">
        <f t="shared" si="57"/>
        <v>11011.539592438739</v>
      </c>
      <c r="W88" s="627">
        <f t="shared" si="57"/>
        <v>10915.545671090267</v>
      </c>
      <c r="X88" s="627">
        <f t="shared" si="57"/>
        <v>10819.551749741795</v>
      </c>
      <c r="Y88" s="627">
        <f t="shared" si="57"/>
        <v>10723.557828393317</v>
      </c>
      <c r="Z88" s="627">
        <f t="shared" si="57"/>
        <v>10502.569182901108</v>
      </c>
      <c r="AA88" s="627">
        <f t="shared" si="57"/>
        <v>10281.5805374089</v>
      </c>
      <c r="AB88" s="627">
        <f t="shared" si="57"/>
        <v>10060.591891916691</v>
      </c>
      <c r="AC88" s="627">
        <f t="shared" si="57"/>
        <v>9839.6032464244818</v>
      </c>
      <c r="AD88" s="627">
        <f t="shared" si="57"/>
        <v>9618.6146009322711</v>
      </c>
      <c r="AE88" s="627">
        <f t="shared" si="57"/>
        <v>9177.9210092773264</v>
      </c>
      <c r="AF88" s="627">
        <f t="shared" si="57"/>
        <v>8737.2274176223818</v>
      </c>
      <c r="AG88" s="627">
        <f t="shared" si="57"/>
        <v>8296.5338259674354</v>
      </c>
      <c r="AH88" s="627">
        <f t="shared" si="57"/>
        <v>7855.8402343124908</v>
      </c>
      <c r="AI88" s="627">
        <f t="shared" si="57"/>
        <v>7415.1466426575471</v>
      </c>
      <c r="AJ88" s="627">
        <f t="shared" si="57"/>
        <v>7172.3365880274341</v>
      </c>
      <c r="AK88" s="627">
        <f t="shared" si="57"/>
        <v>6929.5265333973221</v>
      </c>
      <c r="AL88" s="627">
        <f t="shared" si="57"/>
        <v>6686.7164787672091</v>
      </c>
      <c r="AM88" s="627">
        <f t="shared" si="57"/>
        <v>6443.9064241370961</v>
      </c>
      <c r="AN88" s="627">
        <f t="shared" si="57"/>
        <v>6201.096369506984</v>
      </c>
      <c r="AO88" s="627">
        <f t="shared" si="57"/>
        <v>6201.096369506984</v>
      </c>
      <c r="AP88" s="627">
        <f t="shared" si="57"/>
        <v>6201.096369506984</v>
      </c>
      <c r="AQ88" s="627">
        <f t="shared" si="57"/>
        <v>6201.096369506984</v>
      </c>
      <c r="AR88" s="627">
        <f t="shared" si="57"/>
        <v>6201.096369506984</v>
      </c>
      <c r="AS88" s="627">
        <f t="shared" si="57"/>
        <v>6201.096369506984</v>
      </c>
      <c r="AT88" s="627">
        <f t="shared" si="57"/>
        <v>6201.096369506984</v>
      </c>
      <c r="AU88" s="627">
        <f t="shared" si="57"/>
        <v>6201.096369506984</v>
      </c>
      <c r="AV88" s="627">
        <f t="shared" si="57"/>
        <v>6201.096369506984</v>
      </c>
      <c r="AW88" s="627">
        <f t="shared" si="57"/>
        <v>6201.096369506984</v>
      </c>
      <c r="AX88" s="627">
        <f t="shared" si="57"/>
        <v>6201.096369506984</v>
      </c>
      <c r="AY88" s="627">
        <f t="shared" si="57"/>
        <v>6201.096369506984</v>
      </c>
      <c r="AZ88" s="627">
        <f t="shared" si="57"/>
        <v>6201.096369506984</v>
      </c>
      <c r="BA88" s="627">
        <f t="shared" si="57"/>
        <v>6201.096369506984</v>
      </c>
      <c r="BB88" s="627">
        <f t="shared" si="57"/>
        <v>6201.096369506984</v>
      </c>
      <c r="BC88" s="627">
        <f t="shared" si="57"/>
        <v>6201.096369506984</v>
      </c>
      <c r="BD88" s="627">
        <f t="shared" si="57"/>
        <v>6201.096369506984</v>
      </c>
      <c r="BE88" s="627">
        <f t="shared" si="57"/>
        <v>6201.096369506984</v>
      </c>
      <c r="BF88" s="627">
        <f t="shared" si="57"/>
        <v>6201.096369506984</v>
      </c>
      <c r="BG88" s="627">
        <f t="shared" si="57"/>
        <v>6201.096369506984</v>
      </c>
      <c r="BH88" s="627">
        <f t="shared" si="57"/>
        <v>6201.096369506984</v>
      </c>
      <c r="BI88" s="627">
        <f t="shared" si="57"/>
        <v>6201.096369506984</v>
      </c>
    </row>
    <row r="89" spans="1:61" s="592" customFormat="1" ht="30.75" thickBot="1">
      <c r="A89" s="583" t="s">
        <v>198</v>
      </c>
      <c r="B89" s="139"/>
      <c r="C89" s="139"/>
      <c r="D89" s="139"/>
      <c r="E89" s="139"/>
      <c r="F89" s="139"/>
      <c r="G89" s="139"/>
      <c r="H89" s="139"/>
      <c r="I89" s="139"/>
      <c r="J89" s="139"/>
      <c r="K89" s="139"/>
      <c r="L89" s="139"/>
      <c r="M89" s="139"/>
      <c r="N89" s="139"/>
      <c r="O89" s="139"/>
      <c r="P89" s="138" t="s">
        <v>456</v>
      </c>
      <c r="Q89" s="583"/>
      <c r="R89" s="583"/>
      <c r="S89" s="583">
        <v>2019</v>
      </c>
      <c r="T89" s="583">
        <f>S89+1</f>
        <v>2020</v>
      </c>
      <c r="U89" s="583">
        <f t="shared" ref="U89" si="58">T89+1</f>
        <v>2021</v>
      </c>
      <c r="V89" s="583">
        <f t="shared" ref="V89" si="59">U89+1</f>
        <v>2022</v>
      </c>
      <c r="W89" s="583">
        <f t="shared" ref="W89" si="60">V89+1</f>
        <v>2023</v>
      </c>
      <c r="X89" s="583">
        <f t="shared" ref="X89" si="61">W89+1</f>
        <v>2024</v>
      </c>
      <c r="Y89" s="583">
        <f t="shared" ref="Y89" si="62">X89+1</f>
        <v>2025</v>
      </c>
      <c r="Z89" s="583">
        <f t="shared" ref="Z89" si="63">Y89+1</f>
        <v>2026</v>
      </c>
      <c r="AA89" s="583">
        <f t="shared" ref="AA89" si="64">Z89+1</f>
        <v>2027</v>
      </c>
      <c r="AB89" s="583">
        <f t="shared" ref="AB89" si="65">AA89+1</f>
        <v>2028</v>
      </c>
      <c r="AC89" s="583">
        <f t="shared" ref="AC89" si="66">AB89+1</f>
        <v>2029</v>
      </c>
      <c r="AD89" s="583">
        <f t="shared" ref="AD89" si="67">AC89+1</f>
        <v>2030</v>
      </c>
      <c r="AE89" s="583">
        <f t="shared" ref="AE89" si="68">AD89+1</f>
        <v>2031</v>
      </c>
      <c r="AF89" s="583">
        <f t="shared" ref="AF89" si="69">AE89+1</f>
        <v>2032</v>
      </c>
      <c r="AG89" s="583">
        <f t="shared" ref="AG89" si="70">AF89+1</f>
        <v>2033</v>
      </c>
      <c r="AH89" s="583">
        <f t="shared" ref="AH89" si="71">AG89+1</f>
        <v>2034</v>
      </c>
      <c r="AI89" s="583">
        <f t="shared" ref="AI89" si="72">AH89+1</f>
        <v>2035</v>
      </c>
      <c r="AJ89" s="583">
        <f t="shared" ref="AJ89" si="73">AI89+1</f>
        <v>2036</v>
      </c>
      <c r="AK89" s="583">
        <f t="shared" ref="AK89" si="74">AJ89+1</f>
        <v>2037</v>
      </c>
      <c r="AL89" s="583">
        <f t="shared" ref="AL89" si="75">AK89+1</f>
        <v>2038</v>
      </c>
      <c r="AM89" s="583">
        <f t="shared" ref="AM89" si="76">AL89+1</f>
        <v>2039</v>
      </c>
      <c r="AN89" s="583">
        <f t="shared" ref="AN89" si="77">AM89+1</f>
        <v>2040</v>
      </c>
      <c r="AO89" s="583">
        <f t="shared" ref="AO89" si="78">AN89+1</f>
        <v>2041</v>
      </c>
      <c r="AP89" s="583">
        <f t="shared" ref="AP89" si="79">AO89+1</f>
        <v>2042</v>
      </c>
      <c r="AQ89" s="583">
        <f t="shared" ref="AQ89" si="80">AP89+1</f>
        <v>2043</v>
      </c>
      <c r="AR89" s="583">
        <f t="shared" ref="AR89" si="81">AQ89+1</f>
        <v>2044</v>
      </c>
      <c r="AS89" s="583">
        <f t="shared" ref="AS89" si="82">AR89+1</f>
        <v>2045</v>
      </c>
      <c r="AT89" s="583">
        <f t="shared" ref="AT89" si="83">AS89+1</f>
        <v>2046</v>
      </c>
      <c r="AU89" s="583">
        <f t="shared" ref="AU89" si="84">AT89+1</f>
        <v>2047</v>
      </c>
      <c r="AV89" s="583">
        <f t="shared" ref="AV89" si="85">AU89+1</f>
        <v>2048</v>
      </c>
      <c r="AW89" s="583">
        <f t="shared" ref="AW89" si="86">AV89+1</f>
        <v>2049</v>
      </c>
      <c r="AX89" s="583">
        <f t="shared" ref="AX89" si="87">AW89+1</f>
        <v>2050</v>
      </c>
      <c r="AY89" s="583">
        <f t="shared" ref="AY89" si="88">AX89+1</f>
        <v>2051</v>
      </c>
      <c r="AZ89" s="583">
        <f t="shared" ref="AZ89" si="89">AY89+1</f>
        <v>2052</v>
      </c>
      <c r="BA89" s="583">
        <f t="shared" ref="BA89" si="90">AZ89+1</f>
        <v>2053</v>
      </c>
      <c r="BB89" s="583">
        <f t="shared" ref="BB89" si="91">BA89+1</f>
        <v>2054</v>
      </c>
      <c r="BC89" s="583">
        <f t="shared" ref="BC89" si="92">BB89+1</f>
        <v>2055</v>
      </c>
      <c r="BD89" s="583">
        <f t="shared" ref="BD89" si="93">BC89+1</f>
        <v>2056</v>
      </c>
      <c r="BE89" s="583">
        <f t="shared" ref="BE89" si="94">BD89+1</f>
        <v>2057</v>
      </c>
      <c r="BF89" s="583">
        <f t="shared" ref="BF89" si="95">BE89+1</f>
        <v>2058</v>
      </c>
      <c r="BG89" s="583">
        <f t="shared" ref="BG89" si="96">BF89+1</f>
        <v>2059</v>
      </c>
      <c r="BH89" s="583">
        <f t="shared" ref="BH89" si="97">BG89+1</f>
        <v>2060</v>
      </c>
      <c r="BI89" s="583">
        <f t="shared" ref="BI89" si="98">BH89+1</f>
        <v>2061</v>
      </c>
    </row>
    <row r="90" spans="1:61" s="592" customFormat="1" ht="30">
      <c r="A90" s="584" t="str">
        <f>A85</f>
        <v>Średnio, wszystkie rodzaje 
(1000t - 21 wagonów)</v>
      </c>
      <c r="P90" s="128">
        <f>X54*$B$63</f>
        <v>44.861111111111114</v>
      </c>
      <c r="Q90" s="595"/>
      <c r="R90" s="595"/>
      <c r="S90" s="628">
        <f>$Y54+$P90*S$35</f>
        <v>32266.572888888892</v>
      </c>
      <c r="T90" s="595">
        <f>$S90</f>
        <v>32266.572888888892</v>
      </c>
      <c r="U90" s="595">
        <f t="shared" ref="U90:BI93" si="99">$S90</f>
        <v>32266.572888888892</v>
      </c>
      <c r="V90" s="595">
        <f t="shared" si="99"/>
        <v>32266.572888888892</v>
      </c>
      <c r="W90" s="595">
        <f t="shared" si="99"/>
        <v>32266.572888888892</v>
      </c>
      <c r="X90" s="595">
        <f t="shared" si="99"/>
        <v>32266.572888888892</v>
      </c>
      <c r="Y90" s="595">
        <f t="shared" si="99"/>
        <v>32266.572888888892</v>
      </c>
      <c r="Z90" s="595">
        <f t="shared" si="99"/>
        <v>32266.572888888892</v>
      </c>
      <c r="AA90" s="595">
        <f t="shared" si="99"/>
        <v>32266.572888888892</v>
      </c>
      <c r="AB90" s="595">
        <f t="shared" si="99"/>
        <v>32266.572888888892</v>
      </c>
      <c r="AC90" s="595">
        <f t="shared" si="99"/>
        <v>32266.572888888892</v>
      </c>
      <c r="AD90" s="595">
        <f t="shared" si="99"/>
        <v>32266.572888888892</v>
      </c>
      <c r="AE90" s="595">
        <f t="shared" si="99"/>
        <v>32266.572888888892</v>
      </c>
      <c r="AF90" s="595">
        <f t="shared" si="99"/>
        <v>32266.572888888892</v>
      </c>
      <c r="AG90" s="595">
        <f t="shared" si="99"/>
        <v>32266.572888888892</v>
      </c>
      <c r="AH90" s="595">
        <f t="shared" si="99"/>
        <v>32266.572888888892</v>
      </c>
      <c r="AI90" s="595">
        <f t="shared" si="99"/>
        <v>32266.572888888892</v>
      </c>
      <c r="AJ90" s="595">
        <f t="shared" si="99"/>
        <v>32266.572888888892</v>
      </c>
      <c r="AK90" s="595">
        <f t="shared" si="99"/>
        <v>32266.572888888892</v>
      </c>
      <c r="AL90" s="595">
        <f t="shared" si="99"/>
        <v>32266.572888888892</v>
      </c>
      <c r="AM90" s="595">
        <f t="shared" si="99"/>
        <v>32266.572888888892</v>
      </c>
      <c r="AN90" s="595">
        <f t="shared" si="99"/>
        <v>32266.572888888892</v>
      </c>
      <c r="AO90" s="595">
        <f t="shared" si="99"/>
        <v>32266.572888888892</v>
      </c>
      <c r="AP90" s="595">
        <f t="shared" si="99"/>
        <v>32266.572888888892</v>
      </c>
      <c r="AQ90" s="595">
        <f t="shared" si="99"/>
        <v>32266.572888888892</v>
      </c>
      <c r="AR90" s="595">
        <f t="shared" si="99"/>
        <v>32266.572888888892</v>
      </c>
      <c r="AS90" s="595">
        <f t="shared" si="99"/>
        <v>32266.572888888892</v>
      </c>
      <c r="AT90" s="595">
        <f t="shared" si="99"/>
        <v>32266.572888888892</v>
      </c>
      <c r="AU90" s="595">
        <f t="shared" si="99"/>
        <v>32266.572888888892</v>
      </c>
      <c r="AV90" s="595">
        <f t="shared" si="99"/>
        <v>32266.572888888892</v>
      </c>
      <c r="AW90" s="595">
        <f t="shared" si="99"/>
        <v>32266.572888888892</v>
      </c>
      <c r="AX90" s="595">
        <f t="shared" si="99"/>
        <v>32266.572888888892</v>
      </c>
      <c r="AY90" s="595">
        <f t="shared" si="99"/>
        <v>32266.572888888892</v>
      </c>
      <c r="AZ90" s="595">
        <f t="shared" si="99"/>
        <v>32266.572888888892</v>
      </c>
      <c r="BA90" s="595">
        <f t="shared" si="99"/>
        <v>32266.572888888892</v>
      </c>
      <c r="BB90" s="595">
        <f t="shared" si="99"/>
        <v>32266.572888888892</v>
      </c>
      <c r="BC90" s="595">
        <f t="shared" si="99"/>
        <v>32266.572888888892</v>
      </c>
      <c r="BD90" s="595">
        <f t="shared" si="99"/>
        <v>32266.572888888892</v>
      </c>
      <c r="BE90" s="595">
        <f t="shared" si="99"/>
        <v>32266.572888888892</v>
      </c>
      <c r="BF90" s="595">
        <f t="shared" si="99"/>
        <v>32266.572888888892</v>
      </c>
      <c r="BG90" s="595">
        <f t="shared" si="99"/>
        <v>32266.572888888892</v>
      </c>
      <c r="BH90" s="595">
        <f t="shared" si="99"/>
        <v>32266.572888888892</v>
      </c>
      <c r="BI90" s="595">
        <f t="shared" si="99"/>
        <v>32266.572888888892</v>
      </c>
    </row>
    <row r="91" spans="1:61" s="592" customFormat="1" ht="30">
      <c r="A91" s="584" t="str">
        <f>A86</f>
        <v>Masowe 
(1000t - 18 wagonów)</v>
      </c>
      <c r="P91" s="128">
        <f>X55*$B$63</f>
        <v>44.861111111111114</v>
      </c>
      <c r="Q91" s="595"/>
      <c r="R91" s="595"/>
      <c r="S91" s="596">
        <f>$Y55+$P91*S$35</f>
        <v>32266.572888888892</v>
      </c>
      <c r="T91" s="595">
        <f t="shared" ref="T91:AI93" si="100">$S91</f>
        <v>32266.572888888892</v>
      </c>
      <c r="U91" s="595">
        <f t="shared" si="100"/>
        <v>32266.572888888892</v>
      </c>
      <c r="V91" s="595">
        <f t="shared" si="100"/>
        <v>32266.572888888892</v>
      </c>
      <c r="W91" s="595">
        <f t="shared" si="100"/>
        <v>32266.572888888892</v>
      </c>
      <c r="X91" s="595">
        <f t="shared" si="100"/>
        <v>32266.572888888892</v>
      </c>
      <c r="Y91" s="595">
        <f t="shared" si="100"/>
        <v>32266.572888888892</v>
      </c>
      <c r="Z91" s="595">
        <f t="shared" si="100"/>
        <v>32266.572888888892</v>
      </c>
      <c r="AA91" s="595">
        <f t="shared" si="100"/>
        <v>32266.572888888892</v>
      </c>
      <c r="AB91" s="595">
        <f t="shared" si="100"/>
        <v>32266.572888888892</v>
      </c>
      <c r="AC91" s="595">
        <f t="shared" si="100"/>
        <v>32266.572888888892</v>
      </c>
      <c r="AD91" s="595">
        <f t="shared" si="100"/>
        <v>32266.572888888892</v>
      </c>
      <c r="AE91" s="595">
        <f t="shared" si="100"/>
        <v>32266.572888888892</v>
      </c>
      <c r="AF91" s="595">
        <f t="shared" si="100"/>
        <v>32266.572888888892</v>
      </c>
      <c r="AG91" s="595">
        <f t="shared" si="100"/>
        <v>32266.572888888892</v>
      </c>
      <c r="AH91" s="595">
        <f t="shared" si="100"/>
        <v>32266.572888888892</v>
      </c>
      <c r="AI91" s="595">
        <f t="shared" si="100"/>
        <v>32266.572888888892</v>
      </c>
      <c r="AJ91" s="595">
        <f t="shared" si="99"/>
        <v>32266.572888888892</v>
      </c>
      <c r="AK91" s="595">
        <f t="shared" si="99"/>
        <v>32266.572888888892</v>
      </c>
      <c r="AL91" s="595">
        <f t="shared" si="99"/>
        <v>32266.572888888892</v>
      </c>
      <c r="AM91" s="595">
        <f t="shared" si="99"/>
        <v>32266.572888888892</v>
      </c>
      <c r="AN91" s="595">
        <f t="shared" si="99"/>
        <v>32266.572888888892</v>
      </c>
      <c r="AO91" s="595">
        <f t="shared" si="99"/>
        <v>32266.572888888892</v>
      </c>
      <c r="AP91" s="595">
        <f t="shared" si="99"/>
        <v>32266.572888888892</v>
      </c>
      <c r="AQ91" s="595">
        <f t="shared" si="99"/>
        <v>32266.572888888892</v>
      </c>
      <c r="AR91" s="595">
        <f t="shared" si="99"/>
        <v>32266.572888888892</v>
      </c>
      <c r="AS91" s="595">
        <f t="shared" si="99"/>
        <v>32266.572888888892</v>
      </c>
      <c r="AT91" s="595">
        <f t="shared" si="99"/>
        <v>32266.572888888892</v>
      </c>
      <c r="AU91" s="595">
        <f t="shared" si="99"/>
        <v>32266.572888888892</v>
      </c>
      <c r="AV91" s="595">
        <f t="shared" si="99"/>
        <v>32266.572888888892</v>
      </c>
      <c r="AW91" s="595">
        <f t="shared" si="99"/>
        <v>32266.572888888892</v>
      </c>
      <c r="AX91" s="595">
        <f t="shared" si="99"/>
        <v>32266.572888888892</v>
      </c>
      <c r="AY91" s="595">
        <f t="shared" si="99"/>
        <v>32266.572888888892</v>
      </c>
      <c r="AZ91" s="595">
        <f t="shared" si="99"/>
        <v>32266.572888888892</v>
      </c>
      <c r="BA91" s="595">
        <f t="shared" si="99"/>
        <v>32266.572888888892</v>
      </c>
      <c r="BB91" s="595">
        <f t="shared" si="99"/>
        <v>32266.572888888892</v>
      </c>
      <c r="BC91" s="595">
        <f t="shared" si="99"/>
        <v>32266.572888888892</v>
      </c>
      <c r="BD91" s="595">
        <f t="shared" si="99"/>
        <v>32266.572888888892</v>
      </c>
      <c r="BE91" s="595">
        <f t="shared" si="99"/>
        <v>32266.572888888892</v>
      </c>
      <c r="BF91" s="595">
        <f t="shared" si="99"/>
        <v>32266.572888888892</v>
      </c>
      <c r="BG91" s="595">
        <f t="shared" si="99"/>
        <v>32266.572888888892</v>
      </c>
      <c r="BH91" s="595">
        <f t="shared" si="99"/>
        <v>32266.572888888892</v>
      </c>
      <c r="BI91" s="595">
        <f t="shared" si="99"/>
        <v>32266.572888888892</v>
      </c>
    </row>
    <row r="92" spans="1:61" s="592" customFormat="1" ht="30">
      <c r="A92" s="584" t="str">
        <f>A87</f>
        <v>Gabarytowe 
(1000t - 26 wagonów)</v>
      </c>
      <c r="P92" s="128">
        <f>X56*$B$63</f>
        <v>44.861111111111114</v>
      </c>
      <c r="Q92" s="595"/>
      <c r="R92" s="595"/>
      <c r="S92" s="596">
        <f>$Y56+$P92*S$35</f>
        <v>32266.572888888892</v>
      </c>
      <c r="T92" s="595">
        <f t="shared" si="100"/>
        <v>32266.572888888892</v>
      </c>
      <c r="U92" s="595">
        <f t="shared" si="99"/>
        <v>32266.572888888892</v>
      </c>
      <c r="V92" s="595">
        <f t="shared" si="99"/>
        <v>32266.572888888892</v>
      </c>
      <c r="W92" s="595">
        <f t="shared" si="99"/>
        <v>32266.572888888892</v>
      </c>
      <c r="X92" s="595">
        <f t="shared" si="99"/>
        <v>32266.572888888892</v>
      </c>
      <c r="Y92" s="595">
        <f t="shared" si="99"/>
        <v>32266.572888888892</v>
      </c>
      <c r="Z92" s="595">
        <f t="shared" si="99"/>
        <v>32266.572888888892</v>
      </c>
      <c r="AA92" s="595">
        <f t="shared" si="99"/>
        <v>32266.572888888892</v>
      </c>
      <c r="AB92" s="595">
        <f t="shared" si="99"/>
        <v>32266.572888888892</v>
      </c>
      <c r="AC92" s="595">
        <f t="shared" si="99"/>
        <v>32266.572888888892</v>
      </c>
      <c r="AD92" s="595">
        <f t="shared" si="99"/>
        <v>32266.572888888892</v>
      </c>
      <c r="AE92" s="595">
        <f t="shared" si="99"/>
        <v>32266.572888888892</v>
      </c>
      <c r="AF92" s="595">
        <f t="shared" si="99"/>
        <v>32266.572888888892</v>
      </c>
      <c r="AG92" s="595">
        <f t="shared" si="99"/>
        <v>32266.572888888892</v>
      </c>
      <c r="AH92" s="595">
        <f t="shared" si="99"/>
        <v>32266.572888888892</v>
      </c>
      <c r="AI92" s="595">
        <f t="shared" si="99"/>
        <v>32266.572888888892</v>
      </c>
      <c r="AJ92" s="595">
        <f t="shared" si="99"/>
        <v>32266.572888888892</v>
      </c>
      <c r="AK92" s="595">
        <f t="shared" si="99"/>
        <v>32266.572888888892</v>
      </c>
      <c r="AL92" s="595">
        <f t="shared" si="99"/>
        <v>32266.572888888892</v>
      </c>
      <c r="AM92" s="595">
        <f t="shared" si="99"/>
        <v>32266.572888888892</v>
      </c>
      <c r="AN92" s="595">
        <f t="shared" si="99"/>
        <v>32266.572888888892</v>
      </c>
      <c r="AO92" s="595">
        <f t="shared" si="99"/>
        <v>32266.572888888892</v>
      </c>
      <c r="AP92" s="595">
        <f t="shared" si="99"/>
        <v>32266.572888888892</v>
      </c>
      <c r="AQ92" s="595">
        <f t="shared" si="99"/>
        <v>32266.572888888892</v>
      </c>
      <c r="AR92" s="595">
        <f t="shared" si="99"/>
        <v>32266.572888888892</v>
      </c>
      <c r="AS92" s="595">
        <f t="shared" si="99"/>
        <v>32266.572888888892</v>
      </c>
      <c r="AT92" s="595">
        <f t="shared" si="99"/>
        <v>32266.572888888892</v>
      </c>
      <c r="AU92" s="595">
        <f t="shared" si="99"/>
        <v>32266.572888888892</v>
      </c>
      <c r="AV92" s="595">
        <f t="shared" si="99"/>
        <v>32266.572888888892</v>
      </c>
      <c r="AW92" s="595">
        <f t="shared" si="99"/>
        <v>32266.572888888892</v>
      </c>
      <c r="AX92" s="595">
        <f t="shared" si="99"/>
        <v>32266.572888888892</v>
      </c>
      <c r="AY92" s="595">
        <f t="shared" si="99"/>
        <v>32266.572888888892</v>
      </c>
      <c r="AZ92" s="595">
        <f t="shared" si="99"/>
        <v>32266.572888888892</v>
      </c>
      <c r="BA92" s="595">
        <f t="shared" si="99"/>
        <v>32266.572888888892</v>
      </c>
      <c r="BB92" s="595">
        <f t="shared" si="99"/>
        <v>32266.572888888892</v>
      </c>
      <c r="BC92" s="595">
        <f t="shared" si="99"/>
        <v>32266.572888888892</v>
      </c>
      <c r="BD92" s="595">
        <f t="shared" si="99"/>
        <v>32266.572888888892</v>
      </c>
      <c r="BE92" s="595">
        <f t="shared" si="99"/>
        <v>32266.572888888892</v>
      </c>
      <c r="BF92" s="595">
        <f t="shared" si="99"/>
        <v>32266.572888888892</v>
      </c>
      <c r="BG92" s="595">
        <f t="shared" si="99"/>
        <v>32266.572888888892</v>
      </c>
      <c r="BH92" s="595">
        <f t="shared" si="99"/>
        <v>32266.572888888892</v>
      </c>
      <c r="BI92" s="595">
        <f t="shared" si="99"/>
        <v>32266.572888888892</v>
      </c>
    </row>
    <row r="93" spans="1:61" s="592" customFormat="1" ht="30">
      <c r="A93" s="585" t="str">
        <f>A88</f>
        <v>Kontenerowe 
(1000t - 21 wagonów)</v>
      </c>
      <c r="B93" s="587"/>
      <c r="C93" s="587"/>
      <c r="D93" s="587"/>
      <c r="E93" s="587"/>
      <c r="F93" s="587"/>
      <c r="G93" s="587"/>
      <c r="H93" s="587"/>
      <c r="I93" s="587"/>
      <c r="J93" s="587"/>
      <c r="K93" s="587"/>
      <c r="L93" s="587"/>
      <c r="M93" s="587"/>
      <c r="N93" s="587"/>
      <c r="O93" s="587"/>
      <c r="P93" s="129">
        <f>X57*$B$63</f>
        <v>44.861111111111114</v>
      </c>
      <c r="Q93" s="627"/>
      <c r="R93" s="627"/>
      <c r="S93" s="629">
        <f>$Y57+$P93*S$35</f>
        <v>32266.572888888892</v>
      </c>
      <c r="T93" s="627">
        <f t="shared" si="100"/>
        <v>32266.572888888892</v>
      </c>
      <c r="U93" s="627">
        <f t="shared" si="99"/>
        <v>32266.572888888892</v>
      </c>
      <c r="V93" s="627">
        <f t="shared" si="99"/>
        <v>32266.572888888892</v>
      </c>
      <c r="W93" s="627">
        <f t="shared" si="99"/>
        <v>32266.572888888892</v>
      </c>
      <c r="X93" s="627">
        <f t="shared" si="99"/>
        <v>32266.572888888892</v>
      </c>
      <c r="Y93" s="627">
        <f t="shared" si="99"/>
        <v>32266.572888888892</v>
      </c>
      <c r="Z93" s="627">
        <f t="shared" si="99"/>
        <v>32266.572888888892</v>
      </c>
      <c r="AA93" s="627">
        <f t="shared" si="99"/>
        <v>32266.572888888892</v>
      </c>
      <c r="AB93" s="627">
        <f t="shared" si="99"/>
        <v>32266.572888888892</v>
      </c>
      <c r="AC93" s="627">
        <f t="shared" si="99"/>
        <v>32266.572888888892</v>
      </c>
      <c r="AD93" s="627">
        <f t="shared" si="99"/>
        <v>32266.572888888892</v>
      </c>
      <c r="AE93" s="627">
        <f t="shared" si="99"/>
        <v>32266.572888888892</v>
      </c>
      <c r="AF93" s="627">
        <f t="shared" si="99"/>
        <v>32266.572888888892</v>
      </c>
      <c r="AG93" s="627">
        <f t="shared" si="99"/>
        <v>32266.572888888892</v>
      </c>
      <c r="AH93" s="627">
        <f t="shared" si="99"/>
        <v>32266.572888888892</v>
      </c>
      <c r="AI93" s="627">
        <f t="shared" si="99"/>
        <v>32266.572888888892</v>
      </c>
      <c r="AJ93" s="627">
        <f t="shared" si="99"/>
        <v>32266.572888888892</v>
      </c>
      <c r="AK93" s="627">
        <f t="shared" si="99"/>
        <v>32266.572888888892</v>
      </c>
      <c r="AL93" s="627">
        <f t="shared" si="99"/>
        <v>32266.572888888892</v>
      </c>
      <c r="AM93" s="627">
        <f t="shared" si="99"/>
        <v>32266.572888888892</v>
      </c>
      <c r="AN93" s="627">
        <f t="shared" si="99"/>
        <v>32266.572888888892</v>
      </c>
      <c r="AO93" s="627">
        <f t="shared" si="99"/>
        <v>32266.572888888892</v>
      </c>
      <c r="AP93" s="627">
        <f t="shared" si="99"/>
        <v>32266.572888888892</v>
      </c>
      <c r="AQ93" s="627">
        <f t="shared" si="99"/>
        <v>32266.572888888892</v>
      </c>
      <c r="AR93" s="627">
        <f t="shared" si="99"/>
        <v>32266.572888888892</v>
      </c>
      <c r="AS93" s="627">
        <f t="shared" si="99"/>
        <v>32266.572888888892</v>
      </c>
      <c r="AT93" s="627">
        <f t="shared" si="99"/>
        <v>32266.572888888892</v>
      </c>
      <c r="AU93" s="627">
        <f t="shared" si="99"/>
        <v>32266.572888888892</v>
      </c>
      <c r="AV93" s="627">
        <f t="shared" si="99"/>
        <v>32266.572888888892</v>
      </c>
      <c r="AW93" s="627">
        <f t="shared" si="99"/>
        <v>32266.572888888892</v>
      </c>
      <c r="AX93" s="627">
        <f t="shared" si="99"/>
        <v>32266.572888888892</v>
      </c>
      <c r="AY93" s="627">
        <f t="shared" si="99"/>
        <v>32266.572888888892</v>
      </c>
      <c r="AZ93" s="627">
        <f t="shared" si="99"/>
        <v>32266.572888888892</v>
      </c>
      <c r="BA93" s="627">
        <f t="shared" si="99"/>
        <v>32266.572888888892</v>
      </c>
      <c r="BB93" s="627">
        <f t="shared" si="99"/>
        <v>32266.572888888892</v>
      </c>
      <c r="BC93" s="627">
        <f t="shared" si="99"/>
        <v>32266.572888888892</v>
      </c>
      <c r="BD93" s="627">
        <f t="shared" si="99"/>
        <v>32266.572888888892</v>
      </c>
      <c r="BE93" s="627">
        <f t="shared" si="99"/>
        <v>32266.572888888892</v>
      </c>
      <c r="BF93" s="627">
        <f t="shared" si="99"/>
        <v>32266.572888888892</v>
      </c>
      <c r="BG93" s="627">
        <f t="shared" si="99"/>
        <v>32266.572888888892</v>
      </c>
      <c r="BH93" s="627">
        <f t="shared" si="99"/>
        <v>32266.572888888892</v>
      </c>
      <c r="BI93" s="627">
        <f t="shared" si="99"/>
        <v>32266.572888888892</v>
      </c>
    </row>
    <row r="94" spans="1:61" s="592" customFormat="1">
      <c r="A94" s="76"/>
    </row>
    <row r="95" spans="1:61" s="592" customFormat="1" ht="18">
      <c r="A95" s="1" t="s">
        <v>504</v>
      </c>
    </row>
    <row r="96" spans="1:61" s="592" customFormat="1">
      <c r="A96" s="588"/>
      <c r="B96" s="589"/>
      <c r="C96" s="589"/>
      <c r="D96" s="589"/>
      <c r="E96" s="589"/>
      <c r="F96" s="589"/>
      <c r="G96" s="589"/>
      <c r="H96" s="589"/>
      <c r="I96" s="589"/>
      <c r="J96" s="589"/>
      <c r="K96" s="589"/>
      <c r="L96" s="589"/>
      <c r="M96" s="589"/>
      <c r="N96" s="589"/>
      <c r="O96" s="589"/>
      <c r="P96" s="588"/>
      <c r="Q96" s="588"/>
      <c r="R96" s="588"/>
      <c r="S96" s="588">
        <v>2019</v>
      </c>
      <c r="T96" s="588">
        <f t="shared" ref="T96" si="101">S96+1</f>
        <v>2020</v>
      </c>
      <c r="U96" s="588">
        <f t="shared" ref="U96" si="102">T96+1</f>
        <v>2021</v>
      </c>
      <c r="V96" s="588">
        <f t="shared" ref="V96" si="103">U96+1</f>
        <v>2022</v>
      </c>
      <c r="W96" s="588">
        <f t="shared" ref="W96" si="104">V96+1</f>
        <v>2023</v>
      </c>
      <c r="X96" s="588">
        <f t="shared" ref="X96" si="105">W96+1</f>
        <v>2024</v>
      </c>
      <c r="Y96" s="588">
        <f t="shared" ref="Y96" si="106">X96+1</f>
        <v>2025</v>
      </c>
      <c r="Z96" s="588">
        <f t="shared" ref="Z96" si="107">Y96+1</f>
        <v>2026</v>
      </c>
      <c r="AA96" s="588">
        <f t="shared" ref="AA96" si="108">Z96+1</f>
        <v>2027</v>
      </c>
      <c r="AB96" s="588">
        <f t="shared" ref="AB96" si="109">AA96+1</f>
        <v>2028</v>
      </c>
      <c r="AC96" s="588">
        <f t="shared" ref="AC96" si="110">AB96+1</f>
        <v>2029</v>
      </c>
      <c r="AD96" s="588">
        <f t="shared" ref="AD96" si="111">AC96+1</f>
        <v>2030</v>
      </c>
      <c r="AE96" s="588">
        <f t="shared" ref="AE96" si="112">AD96+1</f>
        <v>2031</v>
      </c>
      <c r="AF96" s="588">
        <f t="shared" ref="AF96" si="113">AE96+1</f>
        <v>2032</v>
      </c>
      <c r="AG96" s="588">
        <f t="shared" ref="AG96" si="114">AF96+1</f>
        <v>2033</v>
      </c>
      <c r="AH96" s="588">
        <f t="shared" ref="AH96" si="115">AG96+1</f>
        <v>2034</v>
      </c>
      <c r="AI96" s="588">
        <f t="shared" ref="AI96" si="116">AH96+1</f>
        <v>2035</v>
      </c>
      <c r="AJ96" s="588">
        <f t="shared" ref="AJ96" si="117">AI96+1</f>
        <v>2036</v>
      </c>
      <c r="AK96" s="588">
        <f t="shared" ref="AK96" si="118">AJ96+1</f>
        <v>2037</v>
      </c>
      <c r="AL96" s="588">
        <f t="shared" ref="AL96" si="119">AK96+1</f>
        <v>2038</v>
      </c>
      <c r="AM96" s="588">
        <f t="shared" ref="AM96" si="120">AL96+1</f>
        <v>2039</v>
      </c>
      <c r="AN96" s="588">
        <f t="shared" ref="AN96" si="121">AM96+1</f>
        <v>2040</v>
      </c>
      <c r="AO96" s="588">
        <f t="shared" ref="AO96" si="122">AN96+1</f>
        <v>2041</v>
      </c>
      <c r="AP96" s="588">
        <f t="shared" ref="AP96" si="123">AO96+1</f>
        <v>2042</v>
      </c>
      <c r="AQ96" s="588">
        <f t="shared" ref="AQ96" si="124">AP96+1</f>
        <v>2043</v>
      </c>
      <c r="AR96" s="588">
        <f t="shared" ref="AR96" si="125">AQ96+1</f>
        <v>2044</v>
      </c>
      <c r="AS96" s="588">
        <f t="shared" ref="AS96" si="126">AR96+1</f>
        <v>2045</v>
      </c>
      <c r="AT96" s="588">
        <f t="shared" ref="AT96" si="127">AS96+1</f>
        <v>2046</v>
      </c>
      <c r="AU96" s="588">
        <f t="shared" ref="AU96" si="128">AT96+1</f>
        <v>2047</v>
      </c>
      <c r="AV96" s="588">
        <f t="shared" ref="AV96" si="129">AU96+1</f>
        <v>2048</v>
      </c>
      <c r="AW96" s="588">
        <f t="shared" ref="AW96" si="130">AV96+1</f>
        <v>2049</v>
      </c>
      <c r="AX96" s="588">
        <f t="shared" ref="AX96" si="131">AW96+1</f>
        <v>2050</v>
      </c>
      <c r="AY96" s="588">
        <f t="shared" ref="AY96" si="132">AX96+1</f>
        <v>2051</v>
      </c>
      <c r="AZ96" s="588">
        <f t="shared" ref="AZ96" si="133">AY96+1</f>
        <v>2052</v>
      </c>
      <c r="BA96" s="588">
        <f t="shared" ref="BA96" si="134">AZ96+1</f>
        <v>2053</v>
      </c>
      <c r="BB96" s="588">
        <f t="shared" ref="BB96" si="135">BA96+1</f>
        <v>2054</v>
      </c>
      <c r="BC96" s="588">
        <f t="shared" ref="BC96" si="136">BB96+1</f>
        <v>2055</v>
      </c>
      <c r="BD96" s="588">
        <f t="shared" ref="BD96" si="137">BC96+1</f>
        <v>2056</v>
      </c>
      <c r="BE96" s="588">
        <f t="shared" ref="BE96" si="138">BD96+1</f>
        <v>2057</v>
      </c>
      <c r="BF96" s="588">
        <f t="shared" ref="BF96" si="139">BE96+1</f>
        <v>2058</v>
      </c>
      <c r="BG96" s="588">
        <f t="shared" ref="BG96" si="140">BF96+1</f>
        <v>2059</v>
      </c>
      <c r="BH96" s="588">
        <f t="shared" ref="BH96" si="141">BG96+1</f>
        <v>2060</v>
      </c>
      <c r="BI96" s="588">
        <f t="shared" ref="BI96" si="142">BH96+1</f>
        <v>2061</v>
      </c>
    </row>
    <row r="97" spans="1:61" s="592" customFormat="1" ht="33">
      <c r="A97" s="643" t="s">
        <v>503</v>
      </c>
      <c r="B97" s="514"/>
      <c r="C97" s="514"/>
      <c r="D97" s="514"/>
      <c r="E97" s="514"/>
      <c r="F97" s="514"/>
      <c r="G97" s="514"/>
      <c r="H97" s="514"/>
      <c r="I97" s="514"/>
      <c r="J97" s="514"/>
      <c r="K97" s="514"/>
      <c r="L97" s="514"/>
      <c r="M97" s="514"/>
      <c r="N97" s="514"/>
      <c r="O97" s="514"/>
      <c r="P97" s="514"/>
      <c r="Q97" s="514"/>
      <c r="R97" s="514"/>
      <c r="S97" s="623"/>
      <c r="T97" s="514">
        <f>(T$35-S$35)/S$35</f>
        <v>-6.1947363569606874E-2</v>
      </c>
      <c r="U97" s="514">
        <f t="shared" ref="U97:BI97" si="143">(U$35-T$35)/T$35</f>
        <v>-8.5681872878200505E-3</v>
      </c>
      <c r="V97" s="514">
        <f t="shared" si="143"/>
        <v>-8.6422355808623407E-3</v>
      </c>
      <c r="W97" s="514">
        <f t="shared" si="143"/>
        <v>-8.7175749169887736E-3</v>
      </c>
      <c r="X97" s="514">
        <f t="shared" si="143"/>
        <v>-8.7942393574250589E-3</v>
      </c>
      <c r="Y97" s="514">
        <f t="shared" si="143"/>
        <v>-8.872264172198021E-3</v>
      </c>
      <c r="Z97" s="514">
        <f t="shared" si="143"/>
        <v>-2.0607773001147616E-2</v>
      </c>
      <c r="AA97" s="514">
        <f t="shared" si="143"/>
        <v>-2.1041389172850523E-2</v>
      </c>
      <c r="AB97" s="514">
        <f t="shared" si="143"/>
        <v>-2.1493645328960399E-2</v>
      </c>
      <c r="AC97" s="514">
        <f t="shared" si="143"/>
        <v>-2.1965769794296604E-2</v>
      </c>
      <c r="AD97" s="514">
        <f t="shared" si="143"/>
        <v>-2.2459101241964586E-2</v>
      </c>
      <c r="AE97" s="514">
        <f t="shared" si="143"/>
        <v>-4.5816742840723797E-2</v>
      </c>
      <c r="AF97" s="514">
        <f t="shared" si="143"/>
        <v>-4.8016712195439286E-2</v>
      </c>
      <c r="AG97" s="514">
        <f t="shared" si="143"/>
        <v>-5.0438608335419619E-2</v>
      </c>
      <c r="AH97" s="514">
        <f t="shared" si="143"/>
        <v>-5.3117796045815187E-2</v>
      </c>
      <c r="AI97" s="514">
        <f t="shared" si="143"/>
        <v>-5.6097575626614264E-2</v>
      </c>
      <c r="AJ97" s="514">
        <f t="shared" si="143"/>
        <v>-3.2745145353334636E-2</v>
      </c>
      <c r="AK97" s="514">
        <f t="shared" si="143"/>
        <v>-3.3853689331232478E-2</v>
      </c>
      <c r="AL97" s="514">
        <f t="shared" si="143"/>
        <v>-3.5039919893498236E-2</v>
      </c>
      <c r="AM97" s="514">
        <f t="shared" si="143"/>
        <v>-3.6312299975798913E-2</v>
      </c>
      <c r="AN97" s="514">
        <f t="shared" si="143"/>
        <v>-3.7680568066695112E-2</v>
      </c>
      <c r="AO97" s="514">
        <f t="shared" si="143"/>
        <v>0</v>
      </c>
      <c r="AP97" s="514">
        <f t="shared" si="143"/>
        <v>0</v>
      </c>
      <c r="AQ97" s="514">
        <f t="shared" si="143"/>
        <v>0</v>
      </c>
      <c r="AR97" s="514">
        <f t="shared" si="143"/>
        <v>0</v>
      </c>
      <c r="AS97" s="514">
        <f t="shared" si="143"/>
        <v>0</v>
      </c>
      <c r="AT97" s="514">
        <f t="shared" si="143"/>
        <v>0</v>
      </c>
      <c r="AU97" s="514">
        <f t="shared" si="143"/>
        <v>0</v>
      </c>
      <c r="AV97" s="514">
        <f t="shared" si="143"/>
        <v>0</v>
      </c>
      <c r="AW97" s="514">
        <f t="shared" si="143"/>
        <v>0</v>
      </c>
      <c r="AX97" s="514">
        <f t="shared" si="143"/>
        <v>0</v>
      </c>
      <c r="AY97" s="514">
        <f t="shared" si="143"/>
        <v>0</v>
      </c>
      <c r="AZ97" s="514">
        <f t="shared" si="143"/>
        <v>0</v>
      </c>
      <c r="BA97" s="514">
        <f t="shared" si="143"/>
        <v>0</v>
      </c>
      <c r="BB97" s="514">
        <f t="shared" si="143"/>
        <v>0</v>
      </c>
      <c r="BC97" s="514">
        <f t="shared" si="143"/>
        <v>0</v>
      </c>
      <c r="BD97" s="514">
        <f t="shared" si="143"/>
        <v>0</v>
      </c>
      <c r="BE97" s="514">
        <f t="shared" si="143"/>
        <v>0</v>
      </c>
      <c r="BF97" s="514">
        <f t="shared" si="143"/>
        <v>0</v>
      </c>
      <c r="BG97" s="514">
        <f t="shared" si="143"/>
        <v>0</v>
      </c>
      <c r="BH97" s="514">
        <f t="shared" si="143"/>
        <v>0</v>
      </c>
      <c r="BI97" s="514">
        <f t="shared" si="143"/>
        <v>0</v>
      </c>
    </row>
    <row r="98" spans="1:61" s="672" customFormat="1" ht="48">
      <c r="A98" s="671" t="s">
        <v>798</v>
      </c>
      <c r="B98" s="514"/>
      <c r="C98" s="514"/>
      <c r="D98" s="514"/>
      <c r="E98" s="514"/>
      <c r="F98" s="514"/>
      <c r="G98" s="514"/>
      <c r="H98" s="514"/>
      <c r="I98" s="514"/>
      <c r="J98" s="514"/>
      <c r="K98" s="514"/>
      <c r="L98" s="514"/>
      <c r="M98" s="514"/>
      <c r="N98" s="514"/>
      <c r="O98" s="514"/>
      <c r="P98" s="514"/>
      <c r="Q98" s="514"/>
      <c r="R98" s="514"/>
      <c r="S98" s="514">
        <f>(S$35-$S$35)/$S$35</f>
        <v>0</v>
      </c>
      <c r="T98" s="514">
        <f t="shared" ref="T98:BI98" si="144">(T$35-$S$35)/$S$35</f>
        <v>-6.1947363569606874E-2</v>
      </c>
      <c r="U98" s="514">
        <f t="shared" si="144"/>
        <v>-6.9984774244375852E-2</v>
      </c>
      <c r="V98" s="514">
        <f t="shared" si="144"/>
        <v>-7.8022184919144838E-2</v>
      </c>
      <c r="W98" s="514">
        <f t="shared" si="144"/>
        <v>-8.605959559391381E-2</v>
      </c>
      <c r="X98" s="514">
        <f t="shared" si="144"/>
        <v>-9.4097006268682781E-2</v>
      </c>
      <c r="Y98" s="514">
        <f t="shared" si="144"/>
        <v>-0.10213441694345209</v>
      </c>
      <c r="Z98" s="514">
        <f t="shared" si="144"/>
        <v>-0.12063742706462446</v>
      </c>
      <c r="AA98" s="514">
        <f t="shared" si="144"/>
        <v>-0.13914043718579686</v>
      </c>
      <c r="AB98" s="514">
        <f t="shared" si="144"/>
        <v>-0.15764344730696925</v>
      </c>
      <c r="AC98" s="514">
        <f t="shared" si="144"/>
        <v>-0.17614645742814164</v>
      </c>
      <c r="AD98" s="514">
        <f t="shared" si="144"/>
        <v>-0.1946494675493142</v>
      </c>
      <c r="AE98" s="514">
        <f t="shared" si="144"/>
        <v>-0.23154800579124724</v>
      </c>
      <c r="AF98" s="514">
        <f t="shared" si="144"/>
        <v>-0.2684465440331803</v>
      </c>
      <c r="AG98" s="514">
        <f t="shared" si="144"/>
        <v>-0.30534508227511337</v>
      </c>
      <c r="AH98" s="514">
        <f t="shared" si="144"/>
        <v>-0.34224362051704643</v>
      </c>
      <c r="AI98" s="514">
        <f t="shared" si="144"/>
        <v>-0.37914215875897939</v>
      </c>
      <c r="AJ98" s="514">
        <f t="shared" si="144"/>
        <v>-0.39947223901417417</v>
      </c>
      <c r="AK98" s="514">
        <f t="shared" si="144"/>
        <v>-0.41980231926936895</v>
      </c>
      <c r="AL98" s="514">
        <f t="shared" si="144"/>
        <v>-0.44013239952456373</v>
      </c>
      <c r="AM98" s="514">
        <f t="shared" si="144"/>
        <v>-0.46046247977975852</v>
      </c>
      <c r="AN98" s="514">
        <f t="shared" si="144"/>
        <v>-0.48079256003495319</v>
      </c>
      <c r="AO98" s="514">
        <f t="shared" si="144"/>
        <v>-0.48079256003495319</v>
      </c>
      <c r="AP98" s="514">
        <f t="shared" si="144"/>
        <v>-0.48079256003495319</v>
      </c>
      <c r="AQ98" s="514">
        <f t="shared" si="144"/>
        <v>-0.48079256003495319</v>
      </c>
      <c r="AR98" s="514">
        <f t="shared" si="144"/>
        <v>-0.48079256003495319</v>
      </c>
      <c r="AS98" s="514">
        <f t="shared" si="144"/>
        <v>-0.48079256003495319</v>
      </c>
      <c r="AT98" s="514">
        <f t="shared" si="144"/>
        <v>-0.48079256003495319</v>
      </c>
      <c r="AU98" s="514">
        <f t="shared" si="144"/>
        <v>-0.48079256003495319</v>
      </c>
      <c r="AV98" s="514">
        <f t="shared" si="144"/>
        <v>-0.48079256003495319</v>
      </c>
      <c r="AW98" s="514">
        <f t="shared" si="144"/>
        <v>-0.48079256003495319</v>
      </c>
      <c r="AX98" s="514">
        <f t="shared" si="144"/>
        <v>-0.48079256003495319</v>
      </c>
      <c r="AY98" s="514">
        <f t="shared" si="144"/>
        <v>-0.48079256003495319</v>
      </c>
      <c r="AZ98" s="514">
        <f t="shared" si="144"/>
        <v>-0.48079256003495319</v>
      </c>
      <c r="BA98" s="514">
        <f t="shared" si="144"/>
        <v>-0.48079256003495319</v>
      </c>
      <c r="BB98" s="514">
        <f t="shared" si="144"/>
        <v>-0.48079256003495319</v>
      </c>
      <c r="BC98" s="514">
        <f t="shared" si="144"/>
        <v>-0.48079256003495319</v>
      </c>
      <c r="BD98" s="514">
        <f t="shared" si="144"/>
        <v>-0.48079256003495319</v>
      </c>
      <c r="BE98" s="514">
        <f t="shared" si="144"/>
        <v>-0.48079256003495319</v>
      </c>
      <c r="BF98" s="514">
        <f t="shared" si="144"/>
        <v>-0.48079256003495319</v>
      </c>
      <c r="BG98" s="514">
        <f t="shared" si="144"/>
        <v>-0.48079256003495319</v>
      </c>
      <c r="BH98" s="514">
        <f t="shared" si="144"/>
        <v>-0.48079256003495319</v>
      </c>
      <c r="BI98" s="514">
        <f t="shared" si="144"/>
        <v>-0.48079256003495319</v>
      </c>
    </row>
    <row r="99" spans="1:61"/>
    <row r="100" spans="1:61" ht="15" customHeight="1"/>
    <row r="101" spans="1:61">
      <c r="A101" s="830" t="s">
        <v>913</v>
      </c>
      <c r="B101" s="830"/>
      <c r="C101" s="830"/>
      <c r="D101" s="830"/>
      <c r="E101" s="830"/>
      <c r="F101" s="830"/>
      <c r="G101" s="830"/>
      <c r="H101" s="830"/>
      <c r="I101" s="830"/>
      <c r="J101" s="830"/>
      <c r="K101" s="830"/>
      <c r="L101" s="830"/>
      <c r="M101" s="830"/>
      <c r="N101" s="830"/>
      <c r="O101" s="830"/>
      <c r="P101" s="830"/>
      <c r="Q101" s="830"/>
      <c r="R101" s="830"/>
      <c r="S101" s="830"/>
      <c r="T101" s="830"/>
      <c r="U101" s="830"/>
      <c r="V101" s="830"/>
    </row>
    <row r="102" spans="1:61" s="515" customFormat="1">
      <c r="A102" s="757" t="s">
        <v>34</v>
      </c>
      <c r="B102" s="663" t="s">
        <v>309</v>
      </c>
      <c r="C102" s="649"/>
      <c r="D102" s="649"/>
      <c r="E102" s="649"/>
      <c r="F102" s="649"/>
      <c r="G102" s="649"/>
      <c r="H102" s="649"/>
      <c r="I102" s="649"/>
      <c r="J102" s="649"/>
      <c r="K102" s="649"/>
      <c r="L102" s="649"/>
      <c r="M102" s="649"/>
      <c r="N102" s="649"/>
      <c r="O102" s="649"/>
      <c r="P102" s="652"/>
      <c r="Q102" s="6"/>
      <c r="R102" s="6"/>
      <c r="S102" s="6"/>
      <c r="T102" s="6">
        <v>2020</v>
      </c>
      <c r="U102" s="6">
        <f>T102+1</f>
        <v>2021</v>
      </c>
      <c r="V102" s="6">
        <f t="shared" ref="V102:BI102" si="145">U102+1</f>
        <v>2022</v>
      </c>
      <c r="W102" s="6">
        <f t="shared" si="145"/>
        <v>2023</v>
      </c>
      <c r="X102" s="6">
        <f t="shared" si="145"/>
        <v>2024</v>
      </c>
      <c r="Y102" s="6">
        <f t="shared" si="145"/>
        <v>2025</v>
      </c>
      <c r="Z102" s="6">
        <f t="shared" si="145"/>
        <v>2026</v>
      </c>
      <c r="AA102" s="6">
        <f t="shared" si="145"/>
        <v>2027</v>
      </c>
      <c r="AB102" s="6">
        <f t="shared" si="145"/>
        <v>2028</v>
      </c>
      <c r="AC102" s="6">
        <f t="shared" si="145"/>
        <v>2029</v>
      </c>
      <c r="AD102" s="6">
        <f t="shared" si="145"/>
        <v>2030</v>
      </c>
      <c r="AE102" s="6">
        <f t="shared" si="145"/>
        <v>2031</v>
      </c>
      <c r="AF102" s="6">
        <f t="shared" si="145"/>
        <v>2032</v>
      </c>
      <c r="AG102" s="6">
        <f t="shared" si="145"/>
        <v>2033</v>
      </c>
      <c r="AH102" s="6">
        <f t="shared" si="145"/>
        <v>2034</v>
      </c>
      <c r="AI102" s="6">
        <f t="shared" si="145"/>
        <v>2035</v>
      </c>
      <c r="AJ102" s="6">
        <f t="shared" si="145"/>
        <v>2036</v>
      </c>
      <c r="AK102" s="6">
        <f t="shared" si="145"/>
        <v>2037</v>
      </c>
      <c r="AL102" s="6">
        <f t="shared" si="145"/>
        <v>2038</v>
      </c>
      <c r="AM102" s="6">
        <f t="shared" si="145"/>
        <v>2039</v>
      </c>
      <c r="AN102" s="6">
        <f t="shared" si="145"/>
        <v>2040</v>
      </c>
      <c r="AO102" s="6">
        <f t="shared" si="145"/>
        <v>2041</v>
      </c>
      <c r="AP102" s="6">
        <f t="shared" si="145"/>
        <v>2042</v>
      </c>
      <c r="AQ102" s="6">
        <f t="shared" si="145"/>
        <v>2043</v>
      </c>
      <c r="AR102" s="6">
        <f t="shared" si="145"/>
        <v>2044</v>
      </c>
      <c r="AS102" s="6">
        <f t="shared" si="145"/>
        <v>2045</v>
      </c>
      <c r="AT102" s="6">
        <f t="shared" si="145"/>
        <v>2046</v>
      </c>
      <c r="AU102" s="6">
        <f t="shared" si="145"/>
        <v>2047</v>
      </c>
      <c r="AV102" s="6">
        <f t="shared" si="145"/>
        <v>2048</v>
      </c>
      <c r="AW102" s="6">
        <f t="shared" si="145"/>
        <v>2049</v>
      </c>
      <c r="AX102" s="6">
        <f t="shared" si="145"/>
        <v>2050</v>
      </c>
      <c r="AY102" s="6">
        <f t="shared" si="145"/>
        <v>2051</v>
      </c>
      <c r="AZ102" s="6">
        <f t="shared" si="145"/>
        <v>2052</v>
      </c>
      <c r="BA102" s="6">
        <f t="shared" si="145"/>
        <v>2053</v>
      </c>
      <c r="BB102" s="6">
        <f t="shared" si="145"/>
        <v>2054</v>
      </c>
      <c r="BC102" s="6">
        <f t="shared" si="145"/>
        <v>2055</v>
      </c>
      <c r="BD102" s="6">
        <f t="shared" si="145"/>
        <v>2056</v>
      </c>
      <c r="BE102" s="6">
        <f t="shared" si="145"/>
        <v>2057</v>
      </c>
      <c r="BF102" s="6">
        <f t="shared" si="145"/>
        <v>2058</v>
      </c>
      <c r="BG102" s="6">
        <f t="shared" si="145"/>
        <v>2059</v>
      </c>
      <c r="BH102" s="6">
        <f t="shared" si="145"/>
        <v>2060</v>
      </c>
      <c r="BI102" s="6">
        <f t="shared" si="145"/>
        <v>2061</v>
      </c>
    </row>
    <row r="103" spans="1:61">
      <c r="A103" s="758"/>
      <c r="B103" s="664" t="s">
        <v>510</v>
      </c>
      <c r="C103" s="659"/>
      <c r="D103" s="659"/>
      <c r="E103" s="659"/>
      <c r="F103" s="659"/>
      <c r="G103" s="659"/>
      <c r="H103" s="659"/>
      <c r="I103" s="659"/>
      <c r="J103" s="659"/>
      <c r="K103" s="659"/>
      <c r="L103" s="659"/>
      <c r="M103" s="659"/>
      <c r="N103" s="659"/>
      <c r="O103" s="659"/>
      <c r="P103" s="665"/>
      <c r="Q103" s="661">
        <f>DATE(2016,12,31)</f>
        <v>42735</v>
      </c>
      <c r="R103" s="661">
        <f>DATE(YEAR(Q103+1),12,31)</f>
        <v>43100</v>
      </c>
      <c r="S103" s="661">
        <f t="shared" ref="S103" si="146">DATE(YEAR(R103+1),12,31)</f>
        <v>43465</v>
      </c>
      <c r="T103" s="661">
        <f>DATE(YEAR(S103+1),12,31)</f>
        <v>43830</v>
      </c>
      <c r="U103" s="661">
        <f t="shared" ref="U103:BI103" si="147">DATE(YEAR(T103+1),12,31)</f>
        <v>44196</v>
      </c>
      <c r="V103" s="661">
        <f t="shared" si="147"/>
        <v>44561</v>
      </c>
      <c r="W103" s="661">
        <f t="shared" si="147"/>
        <v>44926</v>
      </c>
      <c r="X103" s="661">
        <f t="shared" si="147"/>
        <v>45291</v>
      </c>
      <c r="Y103" s="661">
        <f t="shared" si="147"/>
        <v>45657</v>
      </c>
      <c r="Z103" s="661">
        <f t="shared" si="147"/>
        <v>46022</v>
      </c>
      <c r="AA103" s="661">
        <f t="shared" si="147"/>
        <v>46387</v>
      </c>
      <c r="AB103" s="661">
        <f t="shared" si="147"/>
        <v>46752</v>
      </c>
      <c r="AC103" s="661">
        <f t="shared" si="147"/>
        <v>47118</v>
      </c>
      <c r="AD103" s="661">
        <f t="shared" si="147"/>
        <v>47483</v>
      </c>
      <c r="AE103" s="661">
        <f t="shared" si="147"/>
        <v>47848</v>
      </c>
      <c r="AF103" s="661">
        <f t="shared" si="147"/>
        <v>48213</v>
      </c>
      <c r="AG103" s="661">
        <f t="shared" si="147"/>
        <v>48579</v>
      </c>
      <c r="AH103" s="661">
        <f t="shared" si="147"/>
        <v>48944</v>
      </c>
      <c r="AI103" s="661">
        <f t="shared" si="147"/>
        <v>49309</v>
      </c>
      <c r="AJ103" s="661">
        <f t="shared" si="147"/>
        <v>49674</v>
      </c>
      <c r="AK103" s="661">
        <f t="shared" si="147"/>
        <v>50040</v>
      </c>
      <c r="AL103" s="661">
        <f t="shared" si="147"/>
        <v>50405</v>
      </c>
      <c r="AM103" s="661">
        <f t="shared" si="147"/>
        <v>50770</v>
      </c>
      <c r="AN103" s="661">
        <f t="shared" si="147"/>
        <v>51135</v>
      </c>
      <c r="AO103" s="661">
        <f t="shared" si="147"/>
        <v>51501</v>
      </c>
      <c r="AP103" s="661">
        <f t="shared" si="147"/>
        <v>51866</v>
      </c>
      <c r="AQ103" s="661">
        <f t="shared" si="147"/>
        <v>52231</v>
      </c>
      <c r="AR103" s="661">
        <f t="shared" si="147"/>
        <v>52596</v>
      </c>
      <c r="AS103" s="661">
        <f t="shared" si="147"/>
        <v>52962</v>
      </c>
      <c r="AT103" s="661">
        <f t="shared" si="147"/>
        <v>53327</v>
      </c>
      <c r="AU103" s="661">
        <f t="shared" si="147"/>
        <v>53692</v>
      </c>
      <c r="AV103" s="661">
        <f t="shared" si="147"/>
        <v>54057</v>
      </c>
      <c r="AW103" s="661">
        <f t="shared" si="147"/>
        <v>54423</v>
      </c>
      <c r="AX103" s="661">
        <f t="shared" si="147"/>
        <v>54788</v>
      </c>
      <c r="AY103" s="661">
        <f t="shared" si="147"/>
        <v>55153</v>
      </c>
      <c r="AZ103" s="661">
        <f t="shared" si="147"/>
        <v>55518</v>
      </c>
      <c r="BA103" s="661">
        <f t="shared" si="147"/>
        <v>55884</v>
      </c>
      <c r="BB103" s="661">
        <f t="shared" si="147"/>
        <v>56249</v>
      </c>
      <c r="BC103" s="661">
        <f t="shared" si="147"/>
        <v>56614</v>
      </c>
      <c r="BD103" s="661">
        <f t="shared" si="147"/>
        <v>56979</v>
      </c>
      <c r="BE103" s="661">
        <f t="shared" si="147"/>
        <v>57345</v>
      </c>
      <c r="BF103" s="661">
        <f t="shared" si="147"/>
        <v>57710</v>
      </c>
      <c r="BG103" s="661">
        <f t="shared" si="147"/>
        <v>58075</v>
      </c>
      <c r="BH103" s="661">
        <f t="shared" si="147"/>
        <v>58440</v>
      </c>
      <c r="BI103" s="661">
        <f t="shared" si="147"/>
        <v>58806</v>
      </c>
    </row>
    <row r="104" spans="1:61">
      <c r="A104" s="8" t="s">
        <v>36</v>
      </c>
      <c r="B104" s="110" t="s">
        <v>41</v>
      </c>
      <c r="C104" s="13"/>
      <c r="D104" s="13"/>
      <c r="E104" s="13"/>
      <c r="F104" s="13"/>
      <c r="G104" s="13"/>
      <c r="H104" s="13"/>
      <c r="I104" s="13"/>
      <c r="J104" s="13"/>
      <c r="K104" s="13"/>
      <c r="L104" s="13"/>
      <c r="M104" s="13"/>
      <c r="N104" s="13"/>
      <c r="O104" s="13"/>
      <c r="P104" s="13"/>
      <c r="Q104" s="78"/>
      <c r="R104" s="78"/>
      <c r="S104" s="78"/>
      <c r="T104" s="10">
        <f t="shared" ref="T104:BI104" si="148">T$9*(T$73*10^-6)</f>
        <v>7.6262476500120547E-3</v>
      </c>
      <c r="U104" s="10">
        <f t="shared" si="148"/>
        <v>7.8179752859261313E-3</v>
      </c>
      <c r="V104" s="10">
        <f t="shared" si="148"/>
        <v>9.876638742760839E-3</v>
      </c>
      <c r="W104" s="10">
        <f t="shared" si="148"/>
        <v>1.3163328418282199E-2</v>
      </c>
      <c r="X104" s="10">
        <f t="shared" si="148"/>
        <v>1.6702488038296475E-2</v>
      </c>
      <c r="Y104" s="10">
        <f t="shared" si="148"/>
        <v>1.8702566980984613E-2</v>
      </c>
      <c r="Z104" s="10">
        <f t="shared" si="148"/>
        <v>2.0421145539235026E-2</v>
      </c>
      <c r="AA104" s="10">
        <f t="shared" si="148"/>
        <v>2.2051182065958293E-2</v>
      </c>
      <c r="AB104" s="10">
        <f t="shared" si="148"/>
        <v>2.3592676561154408E-2</v>
      </c>
      <c r="AC104" s="10">
        <f t="shared" si="148"/>
        <v>2.5045629024823376E-2</v>
      </c>
      <c r="AD104" s="10">
        <f t="shared" si="148"/>
        <v>2.6410039456965184E-2</v>
      </c>
      <c r="AE104" s="10">
        <f t="shared" si="148"/>
        <v>2.703864535488416E-2</v>
      </c>
      <c r="AF104" s="10">
        <f t="shared" si="148"/>
        <v>2.8623256415029243E-2</v>
      </c>
      <c r="AG104" s="10">
        <f t="shared" si="148"/>
        <v>2.9917046740290484E-2</v>
      </c>
      <c r="AH104" s="10">
        <f t="shared" si="148"/>
        <v>3.092001633066787E-2</v>
      </c>
      <c r="AI104" s="10">
        <f t="shared" si="148"/>
        <v>3.1632165186161416E-2</v>
      </c>
      <c r="AJ104" s="10">
        <f t="shared" si="148"/>
        <v>3.2962935034052343E-2</v>
      </c>
      <c r="AK104" s="10">
        <f t="shared" si="148"/>
        <v>3.4051811630792211E-2</v>
      </c>
      <c r="AL104" s="10">
        <f t="shared" si="148"/>
        <v>3.4986176648165987E-2</v>
      </c>
      <c r="AM104" s="10">
        <f t="shared" si="148"/>
        <v>3.5766030086173677E-2</v>
      </c>
      <c r="AN104" s="10">
        <f t="shared" si="148"/>
        <v>3.6391371944815294E-2</v>
      </c>
      <c r="AO104" s="10">
        <f t="shared" si="148"/>
        <v>3.8364398134594434E-2</v>
      </c>
      <c r="AP104" s="10">
        <f t="shared" si="148"/>
        <v>4.0337424324373573E-2</v>
      </c>
      <c r="AQ104" s="10">
        <f t="shared" si="148"/>
        <v>4.231045051415272E-2</v>
      </c>
      <c r="AR104" s="10">
        <f t="shared" si="148"/>
        <v>4.4283476703931859E-2</v>
      </c>
      <c r="AS104" s="10">
        <f t="shared" si="148"/>
        <v>4.6256502893711006E-2</v>
      </c>
      <c r="AT104" s="10">
        <f t="shared" si="148"/>
        <v>4.8229529083490146E-2</v>
      </c>
      <c r="AU104" s="10">
        <f t="shared" si="148"/>
        <v>5.0275630317335188E-2</v>
      </c>
      <c r="AV104" s="10">
        <f t="shared" si="148"/>
        <v>5.2321731551180223E-2</v>
      </c>
      <c r="AW104" s="10">
        <f t="shared" si="148"/>
        <v>5.4367832785025265E-2</v>
      </c>
      <c r="AX104" s="10">
        <f t="shared" si="148"/>
        <v>5.6413934018870293E-2</v>
      </c>
      <c r="AY104" s="10">
        <f t="shared" si="148"/>
        <v>5.8460035252715328E-2</v>
      </c>
      <c r="AZ104" s="10">
        <f t="shared" si="148"/>
        <v>5.8460035252715328E-2</v>
      </c>
      <c r="BA104" s="10">
        <f t="shared" si="148"/>
        <v>5.8460035252715328E-2</v>
      </c>
      <c r="BB104" s="10">
        <f t="shared" si="148"/>
        <v>5.8460035252715328E-2</v>
      </c>
      <c r="BC104" s="10">
        <f t="shared" si="148"/>
        <v>5.8460035252715328E-2</v>
      </c>
      <c r="BD104" s="10">
        <f t="shared" si="148"/>
        <v>5.8460035252715328E-2</v>
      </c>
      <c r="BE104" s="10">
        <f t="shared" si="148"/>
        <v>5.8460035252715328E-2</v>
      </c>
      <c r="BF104" s="10">
        <f t="shared" si="148"/>
        <v>5.8460035252715328E-2</v>
      </c>
      <c r="BG104" s="10">
        <f t="shared" si="148"/>
        <v>5.8460035252715328E-2</v>
      </c>
      <c r="BH104" s="10">
        <f t="shared" si="148"/>
        <v>5.8460035252715328E-2</v>
      </c>
      <c r="BI104" s="10">
        <f t="shared" si="148"/>
        <v>5.8460035252715328E-2</v>
      </c>
    </row>
    <row r="105" spans="1:61">
      <c r="A105" s="8" t="s">
        <v>43</v>
      </c>
      <c r="B105" s="110" t="s">
        <v>41</v>
      </c>
      <c r="C105" s="13"/>
      <c r="D105" s="13"/>
      <c r="E105" s="13"/>
      <c r="F105" s="13"/>
      <c r="G105" s="13"/>
      <c r="H105" s="13"/>
      <c r="I105" s="13"/>
      <c r="J105" s="13"/>
      <c r="K105" s="13"/>
      <c r="L105" s="13"/>
      <c r="M105" s="13"/>
      <c r="N105" s="13"/>
      <c r="O105" s="13"/>
      <c r="P105" s="13"/>
      <c r="Q105" s="78"/>
      <c r="R105" s="78"/>
      <c r="S105" s="78"/>
      <c r="T105" s="10">
        <f t="shared" ref="T105:BI105" si="149">T$9*(T$74*10^-6)</f>
        <v>6.2396571681916802E-3</v>
      </c>
      <c r="U105" s="10">
        <f t="shared" si="149"/>
        <v>6.3965252339395606E-3</v>
      </c>
      <c r="V105" s="10">
        <f t="shared" si="149"/>
        <v>8.0808862440770474E-3</v>
      </c>
      <c r="W105" s="10">
        <f t="shared" si="149"/>
        <v>1.0769995978594524E-2</v>
      </c>
      <c r="X105" s="10">
        <f t="shared" si="149"/>
        <v>1.3665672031333476E-2</v>
      </c>
      <c r="Y105" s="10">
        <f t="shared" si="149"/>
        <v>1.5302100257169228E-2</v>
      </c>
      <c r="Z105" s="10">
        <f t="shared" si="149"/>
        <v>1.6708209986646839E-2</v>
      </c>
      <c r="AA105" s="10">
        <f t="shared" si="149"/>
        <v>1.8041876235784057E-2</v>
      </c>
      <c r="AB105" s="10">
        <f t="shared" si="149"/>
        <v>1.9303099004580878E-2</v>
      </c>
      <c r="AC105" s="10">
        <f t="shared" si="149"/>
        <v>2.0491878293037304E-2</v>
      </c>
      <c r="AD105" s="10">
        <f t="shared" si="149"/>
        <v>2.1608214101153333E-2</v>
      </c>
      <c r="AE105" s="10">
        <f t="shared" si="149"/>
        <v>2.2122528017632499E-2</v>
      </c>
      <c r="AF105" s="10">
        <f t="shared" si="149"/>
        <v>2.341902797593302E-2</v>
      </c>
      <c r="AG105" s="10">
        <f t="shared" si="149"/>
        <v>2.4477583696601302E-2</v>
      </c>
      <c r="AH105" s="10">
        <f t="shared" si="149"/>
        <v>2.5298195179637349E-2</v>
      </c>
      <c r="AI105" s="10">
        <f t="shared" si="149"/>
        <v>2.5880862425041156E-2</v>
      </c>
      <c r="AJ105" s="10">
        <f t="shared" si="149"/>
        <v>2.69696741187701E-2</v>
      </c>
      <c r="AK105" s="10">
        <f t="shared" si="149"/>
        <v>2.7860573152466355E-2</v>
      </c>
      <c r="AL105" s="10">
        <f t="shared" si="149"/>
        <v>2.8625053621226717E-2</v>
      </c>
      <c r="AM105" s="10">
        <f t="shared" si="149"/>
        <v>2.9263115525051193E-2</v>
      </c>
      <c r="AN105" s="10">
        <f t="shared" si="149"/>
        <v>2.9774758863939776E-2</v>
      </c>
      <c r="AO105" s="10">
        <f t="shared" si="149"/>
        <v>3.1389053019213617E-2</v>
      </c>
      <c r="AP105" s="10">
        <f t="shared" si="149"/>
        <v>3.3003347174487462E-2</v>
      </c>
      <c r="AQ105" s="10">
        <f t="shared" si="149"/>
        <v>3.4617641329761306E-2</v>
      </c>
      <c r="AR105" s="10">
        <f t="shared" si="149"/>
        <v>3.6231935485035151E-2</v>
      </c>
      <c r="AS105" s="10">
        <f t="shared" si="149"/>
        <v>3.7846229640308995E-2</v>
      </c>
      <c r="AT105" s="10">
        <f t="shared" si="149"/>
        <v>3.9460523795582833E-2</v>
      </c>
      <c r="AU105" s="10">
        <f t="shared" si="149"/>
        <v>4.1134606623274228E-2</v>
      </c>
      <c r="AV105" s="10">
        <f t="shared" si="149"/>
        <v>4.2808689450965623E-2</v>
      </c>
      <c r="AW105" s="10">
        <f t="shared" si="149"/>
        <v>4.4482772278657018E-2</v>
      </c>
      <c r="AX105" s="10">
        <f t="shared" si="149"/>
        <v>4.6156855106348406E-2</v>
      </c>
      <c r="AY105" s="10">
        <f t="shared" si="149"/>
        <v>4.7830937934039801E-2</v>
      </c>
      <c r="AZ105" s="10">
        <f t="shared" si="149"/>
        <v>4.7830937934039801E-2</v>
      </c>
      <c r="BA105" s="10">
        <f t="shared" si="149"/>
        <v>4.7830937934039801E-2</v>
      </c>
      <c r="BB105" s="10">
        <f t="shared" si="149"/>
        <v>4.7830937934039801E-2</v>
      </c>
      <c r="BC105" s="10">
        <f t="shared" si="149"/>
        <v>4.7830937934039801E-2</v>
      </c>
      <c r="BD105" s="10">
        <f t="shared" si="149"/>
        <v>4.7830937934039801E-2</v>
      </c>
      <c r="BE105" s="10">
        <f t="shared" si="149"/>
        <v>4.7830937934039801E-2</v>
      </c>
      <c r="BF105" s="10">
        <f t="shared" si="149"/>
        <v>4.7830937934039801E-2</v>
      </c>
      <c r="BG105" s="10">
        <f t="shared" si="149"/>
        <v>4.7830937934039801E-2</v>
      </c>
      <c r="BH105" s="10">
        <f t="shared" si="149"/>
        <v>4.7830937934039801E-2</v>
      </c>
      <c r="BI105" s="10">
        <f t="shared" si="149"/>
        <v>4.7830937934039801E-2</v>
      </c>
    </row>
    <row r="106" spans="1:61">
      <c r="A106" s="8" t="s">
        <v>44</v>
      </c>
      <c r="B106" s="110" t="s">
        <v>41</v>
      </c>
      <c r="C106" s="13"/>
      <c r="D106" s="13"/>
      <c r="E106" s="13"/>
      <c r="F106" s="13"/>
      <c r="G106" s="13"/>
      <c r="H106" s="13"/>
      <c r="I106" s="13"/>
      <c r="J106" s="13"/>
      <c r="K106" s="13"/>
      <c r="L106" s="13"/>
      <c r="M106" s="13"/>
      <c r="N106" s="13"/>
      <c r="O106" s="13"/>
      <c r="P106" s="13"/>
      <c r="Q106" s="78"/>
      <c r="R106" s="78"/>
      <c r="S106" s="78"/>
      <c r="T106" s="10">
        <f t="shared" ref="T106:BI106" si="150">T$9*(T$75*10^-6)</f>
        <v>8.3195428909222414E-3</v>
      </c>
      <c r="U106" s="10">
        <f t="shared" si="150"/>
        <v>8.5287003119194141E-3</v>
      </c>
      <c r="V106" s="10">
        <f t="shared" si="150"/>
        <v>1.0774514992102732E-2</v>
      </c>
      <c r="W106" s="10">
        <f t="shared" si="150"/>
        <v>1.4359994638126034E-2</v>
      </c>
      <c r="X106" s="10">
        <f t="shared" si="150"/>
        <v>1.822089604177797E-2</v>
      </c>
      <c r="Y106" s="10">
        <f t="shared" si="150"/>
        <v>2.0402800342892304E-2</v>
      </c>
      <c r="Z106" s="10">
        <f t="shared" si="150"/>
        <v>2.2277613315529118E-2</v>
      </c>
      <c r="AA106" s="10">
        <f t="shared" si="150"/>
        <v>2.405583498104541E-2</v>
      </c>
      <c r="AB106" s="10">
        <f t="shared" si="150"/>
        <v>2.5737465339441171E-2</v>
      </c>
      <c r="AC106" s="10">
        <f t="shared" si="150"/>
        <v>2.7322504390716405E-2</v>
      </c>
      <c r="AD106" s="10">
        <f t="shared" si="150"/>
        <v>2.8810952134871108E-2</v>
      </c>
      <c r="AE106" s="10">
        <f t="shared" si="150"/>
        <v>2.9496704023509998E-2</v>
      </c>
      <c r="AF106" s="10">
        <f t="shared" si="150"/>
        <v>3.1225370634577351E-2</v>
      </c>
      <c r="AG106" s="10">
        <f t="shared" si="150"/>
        <v>3.2636778262135069E-2</v>
      </c>
      <c r="AH106" s="10">
        <f t="shared" si="150"/>
        <v>3.373092690618313E-2</v>
      </c>
      <c r="AI106" s="10">
        <f t="shared" si="150"/>
        <v>3.4507816566721534E-2</v>
      </c>
      <c r="AJ106" s="10">
        <f t="shared" si="150"/>
        <v>3.5959565491693463E-2</v>
      </c>
      <c r="AK106" s="10">
        <f t="shared" si="150"/>
        <v>3.7147430869955138E-2</v>
      </c>
      <c r="AL106" s="10">
        <f t="shared" si="150"/>
        <v>3.816673816163562E-2</v>
      </c>
      <c r="AM106" s="10">
        <f t="shared" si="150"/>
        <v>3.9017487366734917E-2</v>
      </c>
      <c r="AN106" s="10">
        <f t="shared" si="150"/>
        <v>3.9699678485253034E-2</v>
      </c>
      <c r="AO106" s="10">
        <f t="shared" si="150"/>
        <v>4.1852070692284825E-2</v>
      </c>
      <c r="AP106" s="10">
        <f t="shared" si="150"/>
        <v>4.4004462899316615E-2</v>
      </c>
      <c r="AQ106" s="10">
        <f t="shared" si="150"/>
        <v>4.6156855106348413E-2</v>
      </c>
      <c r="AR106" s="10">
        <f t="shared" si="150"/>
        <v>4.8309247313380203E-2</v>
      </c>
      <c r="AS106" s="10">
        <f t="shared" si="150"/>
        <v>5.0461639520411994E-2</v>
      </c>
      <c r="AT106" s="10">
        <f t="shared" si="150"/>
        <v>5.2614031727443784E-2</v>
      </c>
      <c r="AU106" s="10">
        <f t="shared" si="150"/>
        <v>5.4846142164365647E-2</v>
      </c>
      <c r="AV106" s="10">
        <f t="shared" si="150"/>
        <v>5.7078252601287509E-2</v>
      </c>
      <c r="AW106" s="10">
        <f t="shared" si="150"/>
        <v>5.9310363038209364E-2</v>
      </c>
      <c r="AX106" s="10">
        <f t="shared" si="150"/>
        <v>6.1542473475131219E-2</v>
      </c>
      <c r="AY106" s="10">
        <f t="shared" si="150"/>
        <v>6.3774583912053082E-2</v>
      </c>
      <c r="AZ106" s="10">
        <f t="shared" si="150"/>
        <v>6.3774583912053082E-2</v>
      </c>
      <c r="BA106" s="10">
        <f t="shared" si="150"/>
        <v>6.3774583912053082E-2</v>
      </c>
      <c r="BB106" s="10">
        <f t="shared" si="150"/>
        <v>6.3774583912053082E-2</v>
      </c>
      <c r="BC106" s="10">
        <f t="shared" si="150"/>
        <v>6.3774583912053082E-2</v>
      </c>
      <c r="BD106" s="10">
        <f t="shared" si="150"/>
        <v>6.3774583912053082E-2</v>
      </c>
      <c r="BE106" s="10">
        <f t="shared" si="150"/>
        <v>6.3774583912053082E-2</v>
      </c>
      <c r="BF106" s="10">
        <f t="shared" si="150"/>
        <v>6.3774583912053082E-2</v>
      </c>
      <c r="BG106" s="10">
        <f t="shared" si="150"/>
        <v>6.3774583912053082E-2</v>
      </c>
      <c r="BH106" s="10">
        <f t="shared" si="150"/>
        <v>6.3774583912053082E-2</v>
      </c>
      <c r="BI106" s="10">
        <f t="shared" si="150"/>
        <v>6.3774583912053082E-2</v>
      </c>
    </row>
    <row r="107" spans="1:61">
      <c r="A107" s="8" t="s">
        <v>37</v>
      </c>
      <c r="B107" s="110" t="s">
        <v>41</v>
      </c>
      <c r="C107" s="13"/>
      <c r="D107" s="13"/>
      <c r="E107" s="13"/>
      <c r="F107" s="13"/>
      <c r="G107" s="13"/>
      <c r="H107" s="13"/>
      <c r="I107" s="13"/>
      <c r="J107" s="13"/>
      <c r="K107" s="13"/>
      <c r="L107" s="13"/>
      <c r="M107" s="13"/>
      <c r="N107" s="13"/>
      <c r="O107" s="13"/>
      <c r="P107" s="13"/>
      <c r="Q107" s="78"/>
      <c r="R107" s="78"/>
      <c r="S107" s="78"/>
      <c r="T107" s="10">
        <f t="shared" ref="T107:BI107" si="151">T$9*(T$76*10^-6)</f>
        <v>7.6262476500120547E-3</v>
      </c>
      <c r="U107" s="10">
        <f t="shared" si="151"/>
        <v>7.8179752859261313E-3</v>
      </c>
      <c r="V107" s="10">
        <f t="shared" si="151"/>
        <v>9.876638742760839E-3</v>
      </c>
      <c r="W107" s="10">
        <f t="shared" si="151"/>
        <v>1.3163328418282199E-2</v>
      </c>
      <c r="X107" s="10">
        <f t="shared" si="151"/>
        <v>1.6702488038296475E-2</v>
      </c>
      <c r="Y107" s="10">
        <f t="shared" si="151"/>
        <v>1.8702566980984613E-2</v>
      </c>
      <c r="Z107" s="10">
        <f t="shared" si="151"/>
        <v>2.0421145539235026E-2</v>
      </c>
      <c r="AA107" s="10">
        <f t="shared" si="151"/>
        <v>2.2051182065958293E-2</v>
      </c>
      <c r="AB107" s="10">
        <f t="shared" si="151"/>
        <v>2.3592676561154408E-2</v>
      </c>
      <c r="AC107" s="10">
        <f t="shared" si="151"/>
        <v>2.5045629024823376E-2</v>
      </c>
      <c r="AD107" s="10">
        <f t="shared" si="151"/>
        <v>2.6410039456965184E-2</v>
      </c>
      <c r="AE107" s="10">
        <f t="shared" si="151"/>
        <v>2.703864535488416E-2</v>
      </c>
      <c r="AF107" s="10">
        <f t="shared" si="151"/>
        <v>2.8623256415029243E-2</v>
      </c>
      <c r="AG107" s="10">
        <f t="shared" si="151"/>
        <v>2.9917046740290484E-2</v>
      </c>
      <c r="AH107" s="10">
        <f t="shared" si="151"/>
        <v>3.092001633066787E-2</v>
      </c>
      <c r="AI107" s="10">
        <f t="shared" si="151"/>
        <v>3.1632165186161416E-2</v>
      </c>
      <c r="AJ107" s="10">
        <f t="shared" si="151"/>
        <v>3.2962935034052343E-2</v>
      </c>
      <c r="AK107" s="10">
        <f t="shared" si="151"/>
        <v>3.4051811630792211E-2</v>
      </c>
      <c r="AL107" s="10">
        <f t="shared" si="151"/>
        <v>3.4986176648165987E-2</v>
      </c>
      <c r="AM107" s="10">
        <f t="shared" si="151"/>
        <v>3.5766030086173677E-2</v>
      </c>
      <c r="AN107" s="10">
        <f t="shared" si="151"/>
        <v>3.6391371944815294E-2</v>
      </c>
      <c r="AO107" s="10">
        <f t="shared" si="151"/>
        <v>3.8364398134594434E-2</v>
      </c>
      <c r="AP107" s="10">
        <f t="shared" si="151"/>
        <v>4.0337424324373573E-2</v>
      </c>
      <c r="AQ107" s="10">
        <f t="shared" si="151"/>
        <v>4.231045051415272E-2</v>
      </c>
      <c r="AR107" s="10">
        <f t="shared" si="151"/>
        <v>4.4283476703931859E-2</v>
      </c>
      <c r="AS107" s="10">
        <f t="shared" si="151"/>
        <v>4.6256502893711006E-2</v>
      </c>
      <c r="AT107" s="10">
        <f t="shared" si="151"/>
        <v>4.8229529083490146E-2</v>
      </c>
      <c r="AU107" s="10">
        <f t="shared" si="151"/>
        <v>5.0275630317335188E-2</v>
      </c>
      <c r="AV107" s="10">
        <f t="shared" si="151"/>
        <v>5.2321731551180223E-2</v>
      </c>
      <c r="AW107" s="10">
        <f t="shared" si="151"/>
        <v>5.4367832785025265E-2</v>
      </c>
      <c r="AX107" s="10">
        <f t="shared" si="151"/>
        <v>5.6413934018870293E-2</v>
      </c>
      <c r="AY107" s="10">
        <f t="shared" si="151"/>
        <v>5.8460035252715328E-2</v>
      </c>
      <c r="AZ107" s="10">
        <f t="shared" si="151"/>
        <v>5.8460035252715328E-2</v>
      </c>
      <c r="BA107" s="10">
        <f t="shared" si="151"/>
        <v>5.8460035252715328E-2</v>
      </c>
      <c r="BB107" s="10">
        <f t="shared" si="151"/>
        <v>5.8460035252715328E-2</v>
      </c>
      <c r="BC107" s="10">
        <f t="shared" si="151"/>
        <v>5.8460035252715328E-2</v>
      </c>
      <c r="BD107" s="10">
        <f t="shared" si="151"/>
        <v>5.8460035252715328E-2</v>
      </c>
      <c r="BE107" s="10">
        <f t="shared" si="151"/>
        <v>5.8460035252715328E-2</v>
      </c>
      <c r="BF107" s="10">
        <f t="shared" si="151"/>
        <v>5.8460035252715328E-2</v>
      </c>
      <c r="BG107" s="10">
        <f t="shared" si="151"/>
        <v>5.8460035252715328E-2</v>
      </c>
      <c r="BH107" s="10">
        <f t="shared" si="151"/>
        <v>5.8460035252715328E-2</v>
      </c>
      <c r="BI107" s="10">
        <f t="shared" si="151"/>
        <v>5.8460035252715328E-2</v>
      </c>
    </row>
    <row r="108" spans="1:61" s="515" customFormat="1">
      <c r="A108" s="757" t="s">
        <v>199</v>
      </c>
      <c r="B108" s="663" t="s">
        <v>309</v>
      </c>
      <c r="C108" s="649"/>
      <c r="D108" s="649"/>
      <c r="E108" s="649"/>
      <c r="F108" s="649"/>
      <c r="G108" s="649"/>
      <c r="H108" s="649"/>
      <c r="I108" s="649"/>
      <c r="J108" s="649"/>
      <c r="K108" s="649"/>
      <c r="L108" s="649"/>
      <c r="M108" s="649"/>
      <c r="N108" s="649"/>
      <c r="O108" s="649"/>
      <c r="P108" s="652"/>
      <c r="Q108" s="6"/>
      <c r="R108" s="6"/>
      <c r="S108" s="6"/>
      <c r="T108" s="6">
        <v>2020</v>
      </c>
      <c r="U108" s="6">
        <f>T108+1</f>
        <v>2021</v>
      </c>
      <c r="V108" s="6">
        <f t="shared" ref="V108:BI108" si="152">U108+1</f>
        <v>2022</v>
      </c>
      <c r="W108" s="6">
        <f t="shared" si="152"/>
        <v>2023</v>
      </c>
      <c r="X108" s="6">
        <f t="shared" si="152"/>
        <v>2024</v>
      </c>
      <c r="Y108" s="6">
        <f t="shared" si="152"/>
        <v>2025</v>
      </c>
      <c r="Z108" s="6">
        <f t="shared" si="152"/>
        <v>2026</v>
      </c>
      <c r="AA108" s="6">
        <f t="shared" si="152"/>
        <v>2027</v>
      </c>
      <c r="AB108" s="6">
        <f t="shared" si="152"/>
        <v>2028</v>
      </c>
      <c r="AC108" s="6">
        <f t="shared" si="152"/>
        <v>2029</v>
      </c>
      <c r="AD108" s="6">
        <f t="shared" si="152"/>
        <v>2030</v>
      </c>
      <c r="AE108" s="6">
        <f t="shared" si="152"/>
        <v>2031</v>
      </c>
      <c r="AF108" s="6">
        <f t="shared" si="152"/>
        <v>2032</v>
      </c>
      <c r="AG108" s="6">
        <f t="shared" si="152"/>
        <v>2033</v>
      </c>
      <c r="AH108" s="6">
        <f t="shared" si="152"/>
        <v>2034</v>
      </c>
      <c r="AI108" s="6">
        <f t="shared" si="152"/>
        <v>2035</v>
      </c>
      <c r="AJ108" s="6">
        <f t="shared" si="152"/>
        <v>2036</v>
      </c>
      <c r="AK108" s="6">
        <f t="shared" si="152"/>
        <v>2037</v>
      </c>
      <c r="AL108" s="6">
        <f t="shared" si="152"/>
        <v>2038</v>
      </c>
      <c r="AM108" s="6">
        <f t="shared" si="152"/>
        <v>2039</v>
      </c>
      <c r="AN108" s="6">
        <f t="shared" si="152"/>
        <v>2040</v>
      </c>
      <c r="AO108" s="6">
        <f t="shared" si="152"/>
        <v>2041</v>
      </c>
      <c r="AP108" s="6">
        <f t="shared" si="152"/>
        <v>2042</v>
      </c>
      <c r="AQ108" s="6">
        <f t="shared" si="152"/>
        <v>2043</v>
      </c>
      <c r="AR108" s="6">
        <f t="shared" si="152"/>
        <v>2044</v>
      </c>
      <c r="AS108" s="6">
        <f t="shared" si="152"/>
        <v>2045</v>
      </c>
      <c r="AT108" s="6">
        <f t="shared" si="152"/>
        <v>2046</v>
      </c>
      <c r="AU108" s="6">
        <f t="shared" si="152"/>
        <v>2047</v>
      </c>
      <c r="AV108" s="6">
        <f t="shared" si="152"/>
        <v>2048</v>
      </c>
      <c r="AW108" s="6">
        <f t="shared" si="152"/>
        <v>2049</v>
      </c>
      <c r="AX108" s="6">
        <f t="shared" si="152"/>
        <v>2050</v>
      </c>
      <c r="AY108" s="6">
        <f t="shared" si="152"/>
        <v>2051</v>
      </c>
      <c r="AZ108" s="6">
        <f t="shared" si="152"/>
        <v>2052</v>
      </c>
      <c r="BA108" s="6">
        <f t="shared" si="152"/>
        <v>2053</v>
      </c>
      <c r="BB108" s="6">
        <f t="shared" si="152"/>
        <v>2054</v>
      </c>
      <c r="BC108" s="6">
        <f t="shared" si="152"/>
        <v>2055</v>
      </c>
      <c r="BD108" s="6">
        <f t="shared" si="152"/>
        <v>2056</v>
      </c>
      <c r="BE108" s="6">
        <f t="shared" si="152"/>
        <v>2057</v>
      </c>
      <c r="BF108" s="6">
        <f t="shared" si="152"/>
        <v>2058</v>
      </c>
      <c r="BG108" s="6">
        <f t="shared" si="152"/>
        <v>2059</v>
      </c>
      <c r="BH108" s="6">
        <f t="shared" si="152"/>
        <v>2060</v>
      </c>
      <c r="BI108" s="6">
        <f t="shared" si="152"/>
        <v>2061</v>
      </c>
    </row>
    <row r="109" spans="1:61" ht="15" customHeight="1">
      <c r="A109" s="758"/>
      <c r="B109" s="664" t="s">
        <v>510</v>
      </c>
      <c r="C109" s="659"/>
      <c r="D109" s="659"/>
      <c r="E109" s="659"/>
      <c r="F109" s="659"/>
      <c r="G109" s="659"/>
      <c r="H109" s="659"/>
      <c r="I109" s="659"/>
      <c r="J109" s="659"/>
      <c r="K109" s="659"/>
      <c r="L109" s="659"/>
      <c r="M109" s="659"/>
      <c r="N109" s="659"/>
      <c r="O109" s="659"/>
      <c r="P109" s="665"/>
      <c r="Q109" s="661">
        <f>DATE(2016,12,31)</f>
        <v>42735</v>
      </c>
      <c r="R109" s="661">
        <f>DATE(YEAR(Q109+1),12,31)</f>
        <v>43100</v>
      </c>
      <c r="S109" s="661">
        <f t="shared" ref="S109" si="153">DATE(YEAR(R109+1),12,31)</f>
        <v>43465</v>
      </c>
      <c r="T109" s="661">
        <f>DATE(YEAR(S109+1),12,31)</f>
        <v>43830</v>
      </c>
      <c r="U109" s="661">
        <f t="shared" ref="U109:BI109" si="154">DATE(YEAR(T109+1),12,31)</f>
        <v>44196</v>
      </c>
      <c r="V109" s="661">
        <f t="shared" si="154"/>
        <v>44561</v>
      </c>
      <c r="W109" s="661">
        <f t="shared" si="154"/>
        <v>44926</v>
      </c>
      <c r="X109" s="661">
        <f t="shared" si="154"/>
        <v>45291</v>
      </c>
      <c r="Y109" s="661">
        <f t="shared" si="154"/>
        <v>45657</v>
      </c>
      <c r="Z109" s="661">
        <f t="shared" si="154"/>
        <v>46022</v>
      </c>
      <c r="AA109" s="661">
        <f t="shared" si="154"/>
        <v>46387</v>
      </c>
      <c r="AB109" s="661">
        <f t="shared" si="154"/>
        <v>46752</v>
      </c>
      <c r="AC109" s="661">
        <f t="shared" si="154"/>
        <v>47118</v>
      </c>
      <c r="AD109" s="661">
        <f t="shared" si="154"/>
        <v>47483</v>
      </c>
      <c r="AE109" s="661">
        <f t="shared" si="154"/>
        <v>47848</v>
      </c>
      <c r="AF109" s="661">
        <f t="shared" si="154"/>
        <v>48213</v>
      </c>
      <c r="AG109" s="661">
        <f t="shared" si="154"/>
        <v>48579</v>
      </c>
      <c r="AH109" s="661">
        <f t="shared" si="154"/>
        <v>48944</v>
      </c>
      <c r="AI109" s="661">
        <f t="shared" si="154"/>
        <v>49309</v>
      </c>
      <c r="AJ109" s="661">
        <f t="shared" si="154"/>
        <v>49674</v>
      </c>
      <c r="AK109" s="661">
        <f t="shared" si="154"/>
        <v>50040</v>
      </c>
      <c r="AL109" s="661">
        <f t="shared" si="154"/>
        <v>50405</v>
      </c>
      <c r="AM109" s="661">
        <f t="shared" si="154"/>
        <v>50770</v>
      </c>
      <c r="AN109" s="661">
        <f t="shared" si="154"/>
        <v>51135</v>
      </c>
      <c r="AO109" s="661">
        <f t="shared" si="154"/>
        <v>51501</v>
      </c>
      <c r="AP109" s="661">
        <f t="shared" si="154"/>
        <v>51866</v>
      </c>
      <c r="AQ109" s="661">
        <f t="shared" si="154"/>
        <v>52231</v>
      </c>
      <c r="AR109" s="661">
        <f t="shared" si="154"/>
        <v>52596</v>
      </c>
      <c r="AS109" s="661">
        <f t="shared" si="154"/>
        <v>52962</v>
      </c>
      <c r="AT109" s="661">
        <f t="shared" si="154"/>
        <v>53327</v>
      </c>
      <c r="AU109" s="661">
        <f t="shared" si="154"/>
        <v>53692</v>
      </c>
      <c r="AV109" s="661">
        <f t="shared" si="154"/>
        <v>54057</v>
      </c>
      <c r="AW109" s="661">
        <f t="shared" si="154"/>
        <v>54423</v>
      </c>
      <c r="AX109" s="661">
        <f t="shared" si="154"/>
        <v>54788</v>
      </c>
      <c r="AY109" s="661">
        <f t="shared" si="154"/>
        <v>55153</v>
      </c>
      <c r="AZ109" s="661">
        <f t="shared" si="154"/>
        <v>55518</v>
      </c>
      <c r="BA109" s="661">
        <f t="shared" si="154"/>
        <v>55884</v>
      </c>
      <c r="BB109" s="661">
        <f t="shared" si="154"/>
        <v>56249</v>
      </c>
      <c r="BC109" s="661">
        <f t="shared" si="154"/>
        <v>56614</v>
      </c>
      <c r="BD109" s="661">
        <f t="shared" si="154"/>
        <v>56979</v>
      </c>
      <c r="BE109" s="661">
        <f t="shared" si="154"/>
        <v>57345</v>
      </c>
      <c r="BF109" s="661">
        <f t="shared" si="154"/>
        <v>57710</v>
      </c>
      <c r="BG109" s="661">
        <f t="shared" si="154"/>
        <v>58075</v>
      </c>
      <c r="BH109" s="661">
        <f t="shared" si="154"/>
        <v>58440</v>
      </c>
      <c r="BI109" s="661">
        <f t="shared" si="154"/>
        <v>58806</v>
      </c>
    </row>
    <row r="110" spans="1:61">
      <c r="A110" s="8" t="str">
        <f>A104</f>
        <v>Średnio, wszystkie rodzaje</v>
      </c>
      <c r="B110" s="135" t="s">
        <v>41</v>
      </c>
      <c r="C110" s="136"/>
      <c r="D110" s="136"/>
      <c r="E110" s="136"/>
      <c r="F110" s="136"/>
      <c r="G110" s="136"/>
      <c r="H110" s="136"/>
      <c r="I110" s="136"/>
      <c r="J110" s="136"/>
      <c r="K110" s="136"/>
      <c r="L110" s="136"/>
      <c r="M110" s="136"/>
      <c r="N110" s="136"/>
      <c r="O110" s="136"/>
      <c r="P110" s="136"/>
      <c r="Q110" s="78"/>
      <c r="R110" s="78"/>
      <c r="S110" s="78"/>
      <c r="T110" s="10">
        <f t="shared" ref="T110:BI110" si="155">T$9*(T$78*10^-6)</f>
        <v>2.6062051955917823E-2</v>
      </c>
      <c r="U110" s="10">
        <f t="shared" si="155"/>
        <v>2.6948161722419029E-2</v>
      </c>
      <c r="V110" s="10">
        <f t="shared" si="155"/>
        <v>3.4341053038943151E-2</v>
      </c>
      <c r="W110" s="10">
        <f t="shared" si="155"/>
        <v>4.6171368795121764E-2</v>
      </c>
      <c r="X110" s="10">
        <f t="shared" si="155"/>
        <v>5.9105022225853503E-2</v>
      </c>
      <c r="Y110" s="10">
        <f t="shared" si="155"/>
        <v>6.6775139613941367E-2</v>
      </c>
      <c r="Z110" s="10">
        <f t="shared" si="155"/>
        <v>7.4445257002029225E-2</v>
      </c>
      <c r="AA110" s="10">
        <f t="shared" si="155"/>
        <v>8.2115374390117082E-2</v>
      </c>
      <c r="AB110" s="10">
        <f t="shared" si="155"/>
        <v>8.978549177820494E-2</v>
      </c>
      <c r="AC110" s="10">
        <f t="shared" si="155"/>
        <v>9.7455609166292798E-2</v>
      </c>
      <c r="AD110" s="10">
        <f t="shared" si="155"/>
        <v>0.10512572655438066</v>
      </c>
      <c r="AE110" s="10">
        <f t="shared" si="155"/>
        <v>0.11279584394246851</v>
      </c>
      <c r="AF110" s="10">
        <f t="shared" si="155"/>
        <v>0.12542897846402498</v>
      </c>
      <c r="AG110" s="10">
        <f t="shared" si="155"/>
        <v>0.13806211298558149</v>
      </c>
      <c r="AH110" s="10">
        <f t="shared" si="155"/>
        <v>0.15069524750713795</v>
      </c>
      <c r="AI110" s="10">
        <f t="shared" si="155"/>
        <v>0.1633283820286944</v>
      </c>
      <c r="AJ110" s="10">
        <f t="shared" si="155"/>
        <v>0.17596151655025091</v>
      </c>
      <c r="AK110" s="10">
        <f t="shared" si="155"/>
        <v>0.18814346769603749</v>
      </c>
      <c r="AL110" s="10">
        <f t="shared" si="155"/>
        <v>0.20032541884182409</v>
      </c>
      <c r="AM110" s="10">
        <f t="shared" si="155"/>
        <v>0.21250736998761069</v>
      </c>
      <c r="AN110" s="10">
        <f t="shared" si="155"/>
        <v>0.22468932113339729</v>
      </c>
      <c r="AO110" s="10">
        <f t="shared" si="155"/>
        <v>0.23687127227918389</v>
      </c>
      <c r="AP110" s="10">
        <f t="shared" si="155"/>
        <v>0.24905322342497047</v>
      </c>
      <c r="AQ110" s="10">
        <f t="shared" si="155"/>
        <v>0.26123517457075712</v>
      </c>
      <c r="AR110" s="10">
        <f t="shared" si="155"/>
        <v>0.2734171257165437</v>
      </c>
      <c r="AS110" s="10">
        <f t="shared" si="155"/>
        <v>0.28559907686233027</v>
      </c>
      <c r="AT110" s="10">
        <f t="shared" si="155"/>
        <v>0.2977810280081169</v>
      </c>
      <c r="AU110" s="10">
        <f t="shared" si="155"/>
        <v>0.31041416252967335</v>
      </c>
      <c r="AV110" s="10">
        <f t="shared" si="155"/>
        <v>0.32304729705122986</v>
      </c>
      <c r="AW110" s="10">
        <f t="shared" si="155"/>
        <v>0.33568043157278638</v>
      </c>
      <c r="AX110" s="10">
        <f t="shared" si="155"/>
        <v>0.34831356609434277</v>
      </c>
      <c r="AY110" s="10">
        <f t="shared" si="155"/>
        <v>0.36094670061589929</v>
      </c>
      <c r="AZ110" s="10">
        <f t="shared" si="155"/>
        <v>0.36094670061589929</v>
      </c>
      <c r="BA110" s="10">
        <f t="shared" si="155"/>
        <v>0.36094670061589929</v>
      </c>
      <c r="BB110" s="10">
        <f t="shared" si="155"/>
        <v>0.36094670061589929</v>
      </c>
      <c r="BC110" s="10">
        <f t="shared" si="155"/>
        <v>0.36094670061589929</v>
      </c>
      <c r="BD110" s="10">
        <f t="shared" si="155"/>
        <v>0.36094670061589929</v>
      </c>
      <c r="BE110" s="10">
        <f t="shared" si="155"/>
        <v>0.36094670061589929</v>
      </c>
      <c r="BF110" s="10">
        <f t="shared" si="155"/>
        <v>0.36094670061589929</v>
      </c>
      <c r="BG110" s="10">
        <f t="shared" si="155"/>
        <v>0.36094670061589929</v>
      </c>
      <c r="BH110" s="10">
        <f t="shared" si="155"/>
        <v>0.36094670061589929</v>
      </c>
      <c r="BI110" s="10">
        <f t="shared" si="155"/>
        <v>0.36094670061589929</v>
      </c>
    </row>
    <row r="111" spans="1:61">
      <c r="A111" s="8" t="str">
        <f>A105</f>
        <v>Regionalne/ Podmiejskie</v>
      </c>
      <c r="B111" s="135" t="s">
        <v>41</v>
      </c>
      <c r="C111" s="136"/>
      <c r="D111" s="136"/>
      <c r="E111" s="136"/>
      <c r="F111" s="136"/>
      <c r="G111" s="136"/>
      <c r="H111" s="136"/>
      <c r="I111" s="136"/>
      <c r="J111" s="136"/>
      <c r="K111" s="136"/>
      <c r="L111" s="136"/>
      <c r="M111" s="136"/>
      <c r="N111" s="136"/>
      <c r="O111" s="136"/>
      <c r="P111" s="136"/>
      <c r="Q111" s="78"/>
      <c r="R111" s="78"/>
      <c r="S111" s="78"/>
      <c r="T111" s="10">
        <f t="shared" ref="T111:BI111" si="156">T$9*(T$79*10^-6)</f>
        <v>2.195856882079027E-2</v>
      </c>
      <c r="U111" s="10">
        <f t="shared" si="156"/>
        <v>2.2705160160697138E-2</v>
      </c>
      <c r="V111" s="10">
        <f t="shared" si="156"/>
        <v>2.8934037036282386E-2</v>
      </c>
      <c r="W111" s="10">
        <f t="shared" si="156"/>
        <v>3.8901663650760872E-2</v>
      </c>
      <c r="X111" s="10">
        <f t="shared" si="156"/>
        <v>4.9798906870264358E-2</v>
      </c>
      <c r="Y111" s="10">
        <f t="shared" si="156"/>
        <v>5.6261360433581105E-2</v>
      </c>
      <c r="Z111" s="10">
        <f t="shared" si="156"/>
        <v>6.2723813996897859E-2</v>
      </c>
      <c r="AA111" s="10">
        <f t="shared" si="156"/>
        <v>6.9186267560214607E-2</v>
      </c>
      <c r="AB111" s="10">
        <f t="shared" si="156"/>
        <v>7.5648721123531354E-2</v>
      </c>
      <c r="AC111" s="10">
        <f t="shared" si="156"/>
        <v>8.2111174686848101E-2</v>
      </c>
      <c r="AD111" s="10">
        <f t="shared" si="156"/>
        <v>8.8573628250164849E-2</v>
      </c>
      <c r="AE111" s="10">
        <f t="shared" si="156"/>
        <v>9.5036081813481596E-2</v>
      </c>
      <c r="AF111" s="10">
        <f t="shared" si="156"/>
        <v>0.10568012297659153</v>
      </c>
      <c r="AG111" s="10">
        <f t="shared" si="156"/>
        <v>0.11632416413970148</v>
      </c>
      <c r="AH111" s="10">
        <f t="shared" si="156"/>
        <v>0.12696820530281142</v>
      </c>
      <c r="AI111" s="10">
        <f t="shared" si="156"/>
        <v>0.13761224646592135</v>
      </c>
      <c r="AJ111" s="10">
        <f t="shared" si="156"/>
        <v>0.14825628762903129</v>
      </c>
      <c r="AK111" s="10">
        <f t="shared" si="156"/>
        <v>0.1585201844648873</v>
      </c>
      <c r="AL111" s="10">
        <f t="shared" si="156"/>
        <v>0.16878408130074332</v>
      </c>
      <c r="AM111" s="10">
        <f t="shared" si="156"/>
        <v>0.17904797813659931</v>
      </c>
      <c r="AN111" s="10">
        <f t="shared" si="156"/>
        <v>0.18931187497245533</v>
      </c>
      <c r="AO111" s="10">
        <f t="shared" si="156"/>
        <v>0.19957577180831135</v>
      </c>
      <c r="AP111" s="10">
        <f t="shared" si="156"/>
        <v>0.20983966864416734</v>
      </c>
      <c r="AQ111" s="10">
        <f t="shared" si="156"/>
        <v>0.22010356548002338</v>
      </c>
      <c r="AR111" s="10">
        <f t="shared" si="156"/>
        <v>0.2303674623158794</v>
      </c>
      <c r="AS111" s="10">
        <f t="shared" si="156"/>
        <v>0.24063135915173539</v>
      </c>
      <c r="AT111" s="10">
        <f t="shared" si="156"/>
        <v>0.25089525598759144</v>
      </c>
      <c r="AU111" s="10">
        <f t="shared" si="156"/>
        <v>0.26153929715070134</v>
      </c>
      <c r="AV111" s="10">
        <f t="shared" si="156"/>
        <v>0.27218333831381131</v>
      </c>
      <c r="AW111" s="10">
        <f t="shared" si="156"/>
        <v>0.28282737947692127</v>
      </c>
      <c r="AX111" s="10">
        <f t="shared" si="156"/>
        <v>0.29347142064003118</v>
      </c>
      <c r="AY111" s="10">
        <f t="shared" si="156"/>
        <v>0.30411546180314114</v>
      </c>
      <c r="AZ111" s="10">
        <f t="shared" si="156"/>
        <v>0.30411546180314114</v>
      </c>
      <c r="BA111" s="10">
        <f t="shared" si="156"/>
        <v>0.30411546180314114</v>
      </c>
      <c r="BB111" s="10">
        <f t="shared" si="156"/>
        <v>0.30411546180314114</v>
      </c>
      <c r="BC111" s="10">
        <f t="shared" si="156"/>
        <v>0.30411546180314114</v>
      </c>
      <c r="BD111" s="10">
        <f t="shared" si="156"/>
        <v>0.30411546180314114</v>
      </c>
      <c r="BE111" s="10">
        <f t="shared" si="156"/>
        <v>0.30411546180314114</v>
      </c>
      <c r="BF111" s="10">
        <f t="shared" si="156"/>
        <v>0.30411546180314114</v>
      </c>
      <c r="BG111" s="10">
        <f t="shared" si="156"/>
        <v>0.30411546180314114</v>
      </c>
      <c r="BH111" s="10">
        <f t="shared" si="156"/>
        <v>0.30411546180314114</v>
      </c>
      <c r="BI111" s="10">
        <f t="shared" si="156"/>
        <v>0.30411546180314114</v>
      </c>
    </row>
    <row r="112" spans="1:61">
      <c r="A112" s="8" t="str">
        <f>A106</f>
        <v>Międzyaglomeracyjne</v>
      </c>
      <c r="B112" s="135" t="s">
        <v>41</v>
      </c>
      <c r="C112" s="136"/>
      <c r="D112" s="136"/>
      <c r="E112" s="136"/>
      <c r="F112" s="136"/>
      <c r="G112" s="136"/>
      <c r="H112" s="136"/>
      <c r="I112" s="136"/>
      <c r="J112" s="136"/>
      <c r="K112" s="136"/>
      <c r="L112" s="136"/>
      <c r="M112" s="136"/>
      <c r="N112" s="136"/>
      <c r="O112" s="136"/>
      <c r="P112" s="136"/>
      <c r="Q112" s="78"/>
      <c r="R112" s="78"/>
      <c r="S112" s="78"/>
      <c r="T112" s="10">
        <f t="shared" ref="T112:BI112" si="157">T$9*(T$80*10^-6)</f>
        <v>3.0941619702022655E-2</v>
      </c>
      <c r="U112" s="10">
        <f t="shared" si="157"/>
        <v>3.1993634771891426E-2</v>
      </c>
      <c r="V112" s="10">
        <f t="shared" si="157"/>
        <v>4.077068855112518E-2</v>
      </c>
      <c r="W112" s="10">
        <f t="shared" si="157"/>
        <v>5.4815980598799406E-2</v>
      </c>
      <c r="X112" s="10">
        <f t="shared" si="157"/>
        <v>7.0171186953554315E-2</v>
      </c>
      <c r="Y112" s="10">
        <f t="shared" si="157"/>
        <v>7.9277371520046103E-2</v>
      </c>
      <c r="Z112" s="10">
        <f t="shared" si="157"/>
        <v>8.838355608653789E-2</v>
      </c>
      <c r="AA112" s="10">
        <f t="shared" si="157"/>
        <v>9.7489740653029663E-2</v>
      </c>
      <c r="AB112" s="10">
        <f t="shared" si="157"/>
        <v>0.10659592521952145</v>
      </c>
      <c r="AC112" s="10">
        <f t="shared" si="157"/>
        <v>0.11570210978601324</v>
      </c>
      <c r="AD112" s="10">
        <f t="shared" si="157"/>
        <v>0.12480829435250501</v>
      </c>
      <c r="AE112" s="10">
        <f t="shared" si="157"/>
        <v>0.1339144789189968</v>
      </c>
      <c r="AF112" s="10">
        <f t="shared" si="157"/>
        <v>0.14891290055792444</v>
      </c>
      <c r="AG112" s="10">
        <f t="shared" si="157"/>
        <v>0.16391132219685209</v>
      </c>
      <c r="AH112" s="10">
        <f t="shared" si="157"/>
        <v>0.17890974383577973</v>
      </c>
      <c r="AI112" s="10">
        <f t="shared" si="157"/>
        <v>0.19390816547470735</v>
      </c>
      <c r="AJ112" s="10">
        <f t="shared" si="157"/>
        <v>0.20890658711363502</v>
      </c>
      <c r="AK112" s="10">
        <f t="shared" si="157"/>
        <v>0.22336935083688667</v>
      </c>
      <c r="AL112" s="10">
        <f t="shared" si="157"/>
        <v>0.23783211456013831</v>
      </c>
      <c r="AM112" s="10">
        <f t="shared" si="157"/>
        <v>0.25229487828338998</v>
      </c>
      <c r="AN112" s="10">
        <f t="shared" si="157"/>
        <v>0.26675764200664159</v>
      </c>
      <c r="AO112" s="10">
        <f t="shared" si="157"/>
        <v>0.28122040572989326</v>
      </c>
      <c r="AP112" s="10">
        <f t="shared" si="157"/>
        <v>0.29568316945314493</v>
      </c>
      <c r="AQ112" s="10">
        <f t="shared" si="157"/>
        <v>0.3101459331763966</v>
      </c>
      <c r="AR112" s="10">
        <f t="shared" si="157"/>
        <v>0.32460869689964822</v>
      </c>
      <c r="AS112" s="10">
        <f t="shared" si="157"/>
        <v>0.33907146062289989</v>
      </c>
      <c r="AT112" s="10">
        <f t="shared" si="157"/>
        <v>0.35353422434615156</v>
      </c>
      <c r="AU112" s="10">
        <f t="shared" si="157"/>
        <v>0.36853264598507918</v>
      </c>
      <c r="AV112" s="10">
        <f t="shared" si="157"/>
        <v>0.38353106762400685</v>
      </c>
      <c r="AW112" s="10">
        <f t="shared" si="157"/>
        <v>0.39852948926293452</v>
      </c>
      <c r="AX112" s="10">
        <f t="shared" si="157"/>
        <v>0.41352791090186208</v>
      </c>
      <c r="AY112" s="10">
        <f t="shared" si="157"/>
        <v>0.42852633254078976</v>
      </c>
      <c r="AZ112" s="10">
        <f t="shared" si="157"/>
        <v>0.42852633254078976</v>
      </c>
      <c r="BA112" s="10">
        <f t="shared" si="157"/>
        <v>0.42852633254078976</v>
      </c>
      <c r="BB112" s="10">
        <f t="shared" si="157"/>
        <v>0.42852633254078976</v>
      </c>
      <c r="BC112" s="10">
        <f t="shared" si="157"/>
        <v>0.42852633254078976</v>
      </c>
      <c r="BD112" s="10">
        <f t="shared" si="157"/>
        <v>0.42852633254078976</v>
      </c>
      <c r="BE112" s="10">
        <f t="shared" si="157"/>
        <v>0.42852633254078976</v>
      </c>
      <c r="BF112" s="10">
        <f t="shared" si="157"/>
        <v>0.42852633254078976</v>
      </c>
      <c r="BG112" s="10">
        <f t="shared" si="157"/>
        <v>0.42852633254078976</v>
      </c>
      <c r="BH112" s="10">
        <f t="shared" si="157"/>
        <v>0.42852633254078976</v>
      </c>
      <c r="BI112" s="10">
        <f t="shared" si="157"/>
        <v>0.42852633254078976</v>
      </c>
    </row>
    <row r="113" spans="1:61">
      <c r="A113" s="8" t="str">
        <f>A107</f>
        <v>Pociągi dużej prędkości</v>
      </c>
      <c r="B113" s="135" t="s">
        <v>41</v>
      </c>
      <c r="C113" s="136"/>
      <c r="D113" s="136"/>
      <c r="E113" s="136"/>
      <c r="F113" s="136"/>
      <c r="G113" s="136"/>
      <c r="H113" s="136"/>
      <c r="I113" s="136"/>
      <c r="J113" s="136"/>
      <c r="K113" s="136"/>
      <c r="L113" s="136"/>
      <c r="M113" s="136"/>
      <c r="N113" s="136"/>
      <c r="O113" s="136"/>
      <c r="P113" s="136"/>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78"/>
      <c r="AS113" s="78"/>
      <c r="AT113" s="78"/>
      <c r="AU113" s="78"/>
      <c r="AV113" s="78"/>
      <c r="AW113" s="78"/>
      <c r="AX113" s="78"/>
      <c r="AY113" s="78"/>
      <c r="AZ113" s="78"/>
      <c r="BA113" s="78"/>
      <c r="BB113" s="78"/>
      <c r="BC113" s="78"/>
      <c r="BD113" s="78"/>
      <c r="BE113" s="78"/>
      <c r="BF113" s="78"/>
      <c r="BG113" s="78"/>
      <c r="BH113" s="78"/>
      <c r="BI113" s="78"/>
    </row>
    <row r="114" spans="1:61" s="515" customFormat="1">
      <c r="A114" s="757" t="s">
        <v>35</v>
      </c>
      <c r="B114" s="663" t="s">
        <v>309</v>
      </c>
      <c r="C114" s="649"/>
      <c r="D114" s="649"/>
      <c r="E114" s="649"/>
      <c r="F114" s="649"/>
      <c r="G114" s="649"/>
      <c r="H114" s="649"/>
      <c r="I114" s="649"/>
      <c r="J114" s="649"/>
      <c r="K114" s="649"/>
      <c r="L114" s="649"/>
      <c r="M114" s="649"/>
      <c r="N114" s="649"/>
      <c r="O114" s="649"/>
      <c r="P114" s="652"/>
      <c r="Q114" s="6"/>
      <c r="R114" s="6"/>
      <c r="S114" s="6"/>
      <c r="T114" s="6">
        <v>2020</v>
      </c>
      <c r="U114" s="6">
        <f>T114+1</f>
        <v>2021</v>
      </c>
      <c r="V114" s="6">
        <f t="shared" ref="V114:BI114" si="158">U114+1</f>
        <v>2022</v>
      </c>
      <c r="W114" s="6">
        <f t="shared" si="158"/>
        <v>2023</v>
      </c>
      <c r="X114" s="6">
        <f t="shared" si="158"/>
        <v>2024</v>
      </c>
      <c r="Y114" s="6">
        <f t="shared" si="158"/>
        <v>2025</v>
      </c>
      <c r="Z114" s="6">
        <f t="shared" si="158"/>
        <v>2026</v>
      </c>
      <c r="AA114" s="6">
        <f t="shared" si="158"/>
        <v>2027</v>
      </c>
      <c r="AB114" s="6">
        <f t="shared" si="158"/>
        <v>2028</v>
      </c>
      <c r="AC114" s="6">
        <f t="shared" si="158"/>
        <v>2029</v>
      </c>
      <c r="AD114" s="6">
        <f t="shared" si="158"/>
        <v>2030</v>
      </c>
      <c r="AE114" s="6">
        <f t="shared" si="158"/>
        <v>2031</v>
      </c>
      <c r="AF114" s="6">
        <f t="shared" si="158"/>
        <v>2032</v>
      </c>
      <c r="AG114" s="6">
        <f t="shared" si="158"/>
        <v>2033</v>
      </c>
      <c r="AH114" s="6">
        <f t="shared" si="158"/>
        <v>2034</v>
      </c>
      <c r="AI114" s="6">
        <f t="shared" si="158"/>
        <v>2035</v>
      </c>
      <c r="AJ114" s="6">
        <f t="shared" si="158"/>
        <v>2036</v>
      </c>
      <c r="AK114" s="6">
        <f t="shared" si="158"/>
        <v>2037</v>
      </c>
      <c r="AL114" s="6">
        <f t="shared" si="158"/>
        <v>2038</v>
      </c>
      <c r="AM114" s="6">
        <f t="shared" si="158"/>
        <v>2039</v>
      </c>
      <c r="AN114" s="6">
        <f t="shared" si="158"/>
        <v>2040</v>
      </c>
      <c r="AO114" s="6">
        <f t="shared" si="158"/>
        <v>2041</v>
      </c>
      <c r="AP114" s="6">
        <f t="shared" si="158"/>
        <v>2042</v>
      </c>
      <c r="AQ114" s="6">
        <f t="shared" si="158"/>
        <v>2043</v>
      </c>
      <c r="AR114" s="6">
        <f t="shared" si="158"/>
        <v>2044</v>
      </c>
      <c r="AS114" s="6">
        <f t="shared" si="158"/>
        <v>2045</v>
      </c>
      <c r="AT114" s="6">
        <f t="shared" si="158"/>
        <v>2046</v>
      </c>
      <c r="AU114" s="6">
        <f t="shared" si="158"/>
        <v>2047</v>
      </c>
      <c r="AV114" s="6">
        <f t="shared" si="158"/>
        <v>2048</v>
      </c>
      <c r="AW114" s="6">
        <f t="shared" si="158"/>
        <v>2049</v>
      </c>
      <c r="AX114" s="6">
        <f t="shared" si="158"/>
        <v>2050</v>
      </c>
      <c r="AY114" s="6">
        <f t="shared" si="158"/>
        <v>2051</v>
      </c>
      <c r="AZ114" s="6">
        <f t="shared" si="158"/>
        <v>2052</v>
      </c>
      <c r="BA114" s="6">
        <f t="shared" si="158"/>
        <v>2053</v>
      </c>
      <c r="BB114" s="6">
        <f t="shared" si="158"/>
        <v>2054</v>
      </c>
      <c r="BC114" s="6">
        <f t="shared" si="158"/>
        <v>2055</v>
      </c>
      <c r="BD114" s="6">
        <f t="shared" si="158"/>
        <v>2056</v>
      </c>
      <c r="BE114" s="6">
        <f t="shared" si="158"/>
        <v>2057</v>
      </c>
      <c r="BF114" s="6">
        <f t="shared" si="158"/>
        <v>2058</v>
      </c>
      <c r="BG114" s="6">
        <f t="shared" si="158"/>
        <v>2059</v>
      </c>
      <c r="BH114" s="6">
        <f t="shared" si="158"/>
        <v>2060</v>
      </c>
      <c r="BI114" s="6">
        <f t="shared" si="158"/>
        <v>2061</v>
      </c>
    </row>
    <row r="115" spans="1:61">
      <c r="A115" s="758"/>
      <c r="B115" s="664" t="s">
        <v>510</v>
      </c>
      <c r="C115" s="659"/>
      <c r="D115" s="659"/>
      <c r="E115" s="659"/>
      <c r="F115" s="659"/>
      <c r="G115" s="659"/>
      <c r="H115" s="659"/>
      <c r="I115" s="659"/>
      <c r="J115" s="659"/>
      <c r="K115" s="659"/>
      <c r="L115" s="659"/>
      <c r="M115" s="659"/>
      <c r="N115" s="659"/>
      <c r="O115" s="659"/>
      <c r="P115" s="665"/>
      <c r="Q115" s="661">
        <f>DATE(2016,12,31)</f>
        <v>42735</v>
      </c>
      <c r="R115" s="661">
        <f>DATE(YEAR(Q115+1),12,31)</f>
        <v>43100</v>
      </c>
      <c r="S115" s="661">
        <f t="shared" ref="S115" si="159">DATE(YEAR(R115+1),12,31)</f>
        <v>43465</v>
      </c>
      <c r="T115" s="661">
        <f>DATE(YEAR(S115+1),12,31)</f>
        <v>43830</v>
      </c>
      <c r="U115" s="661">
        <f t="shared" ref="U115:BI115" si="160">DATE(YEAR(T115+1),12,31)</f>
        <v>44196</v>
      </c>
      <c r="V115" s="661">
        <f t="shared" si="160"/>
        <v>44561</v>
      </c>
      <c r="W115" s="661">
        <f t="shared" si="160"/>
        <v>44926</v>
      </c>
      <c r="X115" s="661">
        <f t="shared" si="160"/>
        <v>45291</v>
      </c>
      <c r="Y115" s="661">
        <f t="shared" si="160"/>
        <v>45657</v>
      </c>
      <c r="Z115" s="661">
        <f t="shared" si="160"/>
        <v>46022</v>
      </c>
      <c r="AA115" s="661">
        <f t="shared" si="160"/>
        <v>46387</v>
      </c>
      <c r="AB115" s="661">
        <f t="shared" si="160"/>
        <v>46752</v>
      </c>
      <c r="AC115" s="661">
        <f t="shared" si="160"/>
        <v>47118</v>
      </c>
      <c r="AD115" s="661">
        <f t="shared" si="160"/>
        <v>47483</v>
      </c>
      <c r="AE115" s="661">
        <f t="shared" si="160"/>
        <v>47848</v>
      </c>
      <c r="AF115" s="661">
        <f t="shared" si="160"/>
        <v>48213</v>
      </c>
      <c r="AG115" s="661">
        <f t="shared" si="160"/>
        <v>48579</v>
      </c>
      <c r="AH115" s="661">
        <f t="shared" si="160"/>
        <v>48944</v>
      </c>
      <c r="AI115" s="661">
        <f t="shared" si="160"/>
        <v>49309</v>
      </c>
      <c r="AJ115" s="661">
        <f t="shared" si="160"/>
        <v>49674</v>
      </c>
      <c r="AK115" s="661">
        <f t="shared" si="160"/>
        <v>50040</v>
      </c>
      <c r="AL115" s="661">
        <f t="shared" si="160"/>
        <v>50405</v>
      </c>
      <c r="AM115" s="661">
        <f t="shared" si="160"/>
        <v>50770</v>
      </c>
      <c r="AN115" s="661">
        <f t="shared" si="160"/>
        <v>51135</v>
      </c>
      <c r="AO115" s="661">
        <f t="shared" si="160"/>
        <v>51501</v>
      </c>
      <c r="AP115" s="661">
        <f t="shared" si="160"/>
        <v>51866</v>
      </c>
      <c r="AQ115" s="661">
        <f t="shared" si="160"/>
        <v>52231</v>
      </c>
      <c r="AR115" s="661">
        <f t="shared" si="160"/>
        <v>52596</v>
      </c>
      <c r="AS115" s="661">
        <f t="shared" si="160"/>
        <v>52962</v>
      </c>
      <c r="AT115" s="661">
        <f t="shared" si="160"/>
        <v>53327</v>
      </c>
      <c r="AU115" s="661">
        <f t="shared" si="160"/>
        <v>53692</v>
      </c>
      <c r="AV115" s="661">
        <f t="shared" si="160"/>
        <v>54057</v>
      </c>
      <c r="AW115" s="661">
        <f t="shared" si="160"/>
        <v>54423</v>
      </c>
      <c r="AX115" s="661">
        <f t="shared" si="160"/>
        <v>54788</v>
      </c>
      <c r="AY115" s="661">
        <f t="shared" si="160"/>
        <v>55153</v>
      </c>
      <c r="AZ115" s="661">
        <f t="shared" si="160"/>
        <v>55518</v>
      </c>
      <c r="BA115" s="661">
        <f t="shared" si="160"/>
        <v>55884</v>
      </c>
      <c r="BB115" s="661">
        <f t="shared" si="160"/>
        <v>56249</v>
      </c>
      <c r="BC115" s="661">
        <f t="shared" si="160"/>
        <v>56614</v>
      </c>
      <c r="BD115" s="661">
        <f t="shared" si="160"/>
        <v>56979</v>
      </c>
      <c r="BE115" s="661">
        <f t="shared" si="160"/>
        <v>57345</v>
      </c>
      <c r="BF115" s="661">
        <f t="shared" si="160"/>
        <v>57710</v>
      </c>
      <c r="BG115" s="661">
        <f t="shared" si="160"/>
        <v>58075</v>
      </c>
      <c r="BH115" s="661">
        <f t="shared" si="160"/>
        <v>58440</v>
      </c>
      <c r="BI115" s="661">
        <f t="shared" si="160"/>
        <v>58806</v>
      </c>
    </row>
    <row r="116" spans="1:61" ht="30">
      <c r="A116" s="8" t="s">
        <v>38</v>
      </c>
      <c r="B116" s="110" t="s">
        <v>31</v>
      </c>
      <c r="C116" s="13"/>
      <c r="D116" s="13"/>
      <c r="E116" s="13"/>
      <c r="F116" s="13"/>
      <c r="G116" s="13"/>
      <c r="H116" s="13"/>
      <c r="I116" s="13"/>
      <c r="J116" s="13"/>
      <c r="K116" s="13"/>
      <c r="L116" s="13"/>
      <c r="M116" s="13"/>
      <c r="N116" s="13"/>
      <c r="O116" s="13"/>
      <c r="P116" s="13"/>
      <c r="Q116" s="78"/>
      <c r="R116" s="78"/>
      <c r="S116" s="78"/>
      <c r="T116" s="10">
        <f t="shared" ref="T116:BI116" si="161">T$9*(T$85*10^-6)</f>
        <v>4.1459055406429171</v>
      </c>
      <c r="U116" s="10">
        <f t="shared" si="161"/>
        <v>4.2501356554398422</v>
      </c>
      <c r="V116" s="10">
        <f t="shared" si="161"/>
        <v>5.3692999710645282</v>
      </c>
      <c r="W116" s="10">
        <f t="shared" si="161"/>
        <v>7.1560639946661402</v>
      </c>
      <c r="X116" s="10">
        <f t="shared" si="161"/>
        <v>9.0800798608193549</v>
      </c>
      <c r="Y116" s="10">
        <f t="shared" si="161"/>
        <v>10.167395504207997</v>
      </c>
      <c r="Z116" s="10">
        <f t="shared" si="161"/>
        <v>11.101677302238675</v>
      </c>
      <c r="AA116" s="10">
        <f t="shared" si="161"/>
        <v>11.987824432220961</v>
      </c>
      <c r="AB116" s="10">
        <f t="shared" si="161"/>
        <v>12.82583689415485</v>
      </c>
      <c r="AC116" s="10">
        <f t="shared" si="161"/>
        <v>13.615714688040343</v>
      </c>
      <c r="AD116" s="10">
        <f t="shared" si="161"/>
        <v>14.357457813877435</v>
      </c>
      <c r="AE116" s="10">
        <f t="shared" si="161"/>
        <v>14.699190838382481</v>
      </c>
      <c r="AF116" s="10">
        <f t="shared" si="161"/>
        <v>15.560643032897715</v>
      </c>
      <c r="AG116" s="10">
        <f t="shared" si="161"/>
        <v>16.263994500630641</v>
      </c>
      <c r="AH116" s="10">
        <f t="shared" si="161"/>
        <v>16.809245241581259</v>
      </c>
      <c r="AI116" s="10">
        <f t="shared" si="161"/>
        <v>17.196395255749568</v>
      </c>
      <c r="AJ116" s="10">
        <f t="shared" si="161"/>
        <v>17.91985013669391</v>
      </c>
      <c r="AK116" s="10">
        <f t="shared" si="161"/>
        <v>18.51180305019431</v>
      </c>
      <c r="AL116" s="10">
        <f t="shared" si="161"/>
        <v>19.019757850548416</v>
      </c>
      <c r="AM116" s="10">
        <f t="shared" si="161"/>
        <v>19.443714537756236</v>
      </c>
      <c r="AN116" s="10">
        <f t="shared" si="161"/>
        <v>19.783673111817762</v>
      </c>
      <c r="AO116" s="10">
        <f t="shared" si="161"/>
        <v>20.856281894988605</v>
      </c>
      <c r="AP116" s="10">
        <f t="shared" si="161"/>
        <v>21.928890678159444</v>
      </c>
      <c r="AQ116" s="10">
        <f t="shared" si="161"/>
        <v>23.00149946133029</v>
      </c>
      <c r="AR116" s="10">
        <f t="shared" si="161"/>
        <v>24.074108244501133</v>
      </c>
      <c r="AS116" s="10">
        <f t="shared" si="161"/>
        <v>25.146717027671976</v>
      </c>
      <c r="AT116" s="10">
        <f t="shared" si="161"/>
        <v>26.219325810842818</v>
      </c>
      <c r="AU116" s="10">
        <f t="shared" si="161"/>
        <v>27.331660845242212</v>
      </c>
      <c r="AV116" s="10">
        <f t="shared" si="161"/>
        <v>28.443995879641605</v>
      </c>
      <c r="AW116" s="10">
        <f t="shared" si="161"/>
        <v>29.556330914040998</v>
      </c>
      <c r="AX116" s="10">
        <f t="shared" si="161"/>
        <v>30.668665948440385</v>
      </c>
      <c r="AY116" s="10">
        <f t="shared" si="161"/>
        <v>31.781000982839778</v>
      </c>
      <c r="AZ116" s="10">
        <f t="shared" si="161"/>
        <v>31.781000982839778</v>
      </c>
      <c r="BA116" s="10">
        <f t="shared" si="161"/>
        <v>31.781000982839778</v>
      </c>
      <c r="BB116" s="10">
        <f t="shared" si="161"/>
        <v>31.781000982839778</v>
      </c>
      <c r="BC116" s="10">
        <f t="shared" si="161"/>
        <v>31.781000982839778</v>
      </c>
      <c r="BD116" s="10">
        <f t="shared" si="161"/>
        <v>31.781000982839778</v>
      </c>
      <c r="BE116" s="10">
        <f t="shared" si="161"/>
        <v>31.781000982839778</v>
      </c>
      <c r="BF116" s="10">
        <f t="shared" si="161"/>
        <v>31.781000982839778</v>
      </c>
      <c r="BG116" s="10">
        <f t="shared" si="161"/>
        <v>31.781000982839778</v>
      </c>
      <c r="BH116" s="10">
        <f t="shared" si="161"/>
        <v>31.781000982839778</v>
      </c>
      <c r="BI116" s="10">
        <f t="shared" si="161"/>
        <v>31.781000982839778</v>
      </c>
    </row>
    <row r="117" spans="1:61" ht="30">
      <c r="A117" s="8" t="s">
        <v>40</v>
      </c>
      <c r="B117" s="110" t="s">
        <v>31</v>
      </c>
      <c r="C117" s="13"/>
      <c r="D117" s="13"/>
      <c r="E117" s="13"/>
      <c r="F117" s="13"/>
      <c r="G117" s="13"/>
      <c r="H117" s="13"/>
      <c r="I117" s="13"/>
      <c r="J117" s="13"/>
      <c r="K117" s="13"/>
      <c r="L117" s="13"/>
      <c r="M117" s="13"/>
      <c r="N117" s="13"/>
      <c r="O117" s="13"/>
      <c r="P117" s="13"/>
      <c r="Q117" s="78"/>
      <c r="R117" s="78"/>
      <c r="S117" s="78"/>
      <c r="T117" s="10">
        <f t="shared" ref="T117:BI117" si="162">T$9*(T$86*10^-6)</f>
        <v>4.1459055406429171</v>
      </c>
      <c r="U117" s="10">
        <f t="shared" si="162"/>
        <v>4.2501356554398422</v>
      </c>
      <c r="V117" s="10">
        <f t="shared" si="162"/>
        <v>5.3692999710645282</v>
      </c>
      <c r="W117" s="10">
        <f t="shared" si="162"/>
        <v>7.1560639946661402</v>
      </c>
      <c r="X117" s="10">
        <f t="shared" si="162"/>
        <v>9.0800798608193549</v>
      </c>
      <c r="Y117" s="10">
        <f t="shared" si="162"/>
        <v>10.167395504207997</v>
      </c>
      <c r="Z117" s="10">
        <f t="shared" si="162"/>
        <v>11.101677302238675</v>
      </c>
      <c r="AA117" s="10">
        <f t="shared" si="162"/>
        <v>11.987824432220961</v>
      </c>
      <c r="AB117" s="10">
        <f t="shared" si="162"/>
        <v>12.82583689415485</v>
      </c>
      <c r="AC117" s="10">
        <f t="shared" si="162"/>
        <v>13.615714688040343</v>
      </c>
      <c r="AD117" s="10">
        <f t="shared" si="162"/>
        <v>14.357457813877435</v>
      </c>
      <c r="AE117" s="10">
        <f t="shared" si="162"/>
        <v>14.699190838382481</v>
      </c>
      <c r="AF117" s="10">
        <f t="shared" si="162"/>
        <v>15.560643032897715</v>
      </c>
      <c r="AG117" s="10">
        <f t="shared" si="162"/>
        <v>16.263994500630641</v>
      </c>
      <c r="AH117" s="10">
        <f t="shared" si="162"/>
        <v>16.809245241581259</v>
      </c>
      <c r="AI117" s="10">
        <f t="shared" si="162"/>
        <v>17.196395255749568</v>
      </c>
      <c r="AJ117" s="10">
        <f t="shared" si="162"/>
        <v>17.91985013669391</v>
      </c>
      <c r="AK117" s="10">
        <f t="shared" si="162"/>
        <v>18.51180305019431</v>
      </c>
      <c r="AL117" s="10">
        <f t="shared" si="162"/>
        <v>19.019757850548416</v>
      </c>
      <c r="AM117" s="10">
        <f t="shared" si="162"/>
        <v>19.443714537756236</v>
      </c>
      <c r="AN117" s="10">
        <f t="shared" si="162"/>
        <v>19.783673111817762</v>
      </c>
      <c r="AO117" s="10">
        <f t="shared" si="162"/>
        <v>20.856281894988605</v>
      </c>
      <c r="AP117" s="10">
        <f t="shared" si="162"/>
        <v>21.928890678159444</v>
      </c>
      <c r="AQ117" s="10">
        <f t="shared" si="162"/>
        <v>23.00149946133029</v>
      </c>
      <c r="AR117" s="10">
        <f t="shared" si="162"/>
        <v>24.074108244501133</v>
      </c>
      <c r="AS117" s="10">
        <f t="shared" si="162"/>
        <v>25.146717027671976</v>
      </c>
      <c r="AT117" s="10">
        <f t="shared" si="162"/>
        <v>26.219325810842818</v>
      </c>
      <c r="AU117" s="10">
        <f t="shared" si="162"/>
        <v>27.331660845242212</v>
      </c>
      <c r="AV117" s="10">
        <f t="shared" si="162"/>
        <v>28.443995879641605</v>
      </c>
      <c r="AW117" s="10">
        <f t="shared" si="162"/>
        <v>29.556330914040998</v>
      </c>
      <c r="AX117" s="10">
        <f t="shared" si="162"/>
        <v>30.668665948440385</v>
      </c>
      <c r="AY117" s="10">
        <f t="shared" si="162"/>
        <v>31.781000982839778</v>
      </c>
      <c r="AZ117" s="10">
        <f t="shared" si="162"/>
        <v>31.781000982839778</v>
      </c>
      <c r="BA117" s="10">
        <f t="shared" si="162"/>
        <v>31.781000982839778</v>
      </c>
      <c r="BB117" s="10">
        <f t="shared" si="162"/>
        <v>31.781000982839778</v>
      </c>
      <c r="BC117" s="10">
        <f t="shared" si="162"/>
        <v>31.781000982839778</v>
      </c>
      <c r="BD117" s="10">
        <f t="shared" si="162"/>
        <v>31.781000982839778</v>
      </c>
      <c r="BE117" s="10">
        <f t="shared" si="162"/>
        <v>31.781000982839778</v>
      </c>
      <c r="BF117" s="10">
        <f t="shared" si="162"/>
        <v>31.781000982839778</v>
      </c>
      <c r="BG117" s="10">
        <f t="shared" si="162"/>
        <v>31.781000982839778</v>
      </c>
      <c r="BH117" s="10">
        <f t="shared" si="162"/>
        <v>31.781000982839778</v>
      </c>
      <c r="BI117" s="10">
        <f t="shared" si="162"/>
        <v>31.781000982839778</v>
      </c>
    </row>
    <row r="118" spans="1:61" ht="30">
      <c r="A118" s="8" t="s">
        <v>42</v>
      </c>
      <c r="B118" s="110" t="s">
        <v>31</v>
      </c>
      <c r="C118" s="13"/>
      <c r="D118" s="13"/>
      <c r="E118" s="13"/>
      <c r="F118" s="13"/>
      <c r="G118" s="13"/>
      <c r="H118" s="13"/>
      <c r="I118" s="13"/>
      <c r="J118" s="13"/>
      <c r="K118" s="13"/>
      <c r="L118" s="13"/>
      <c r="M118" s="13"/>
      <c r="N118" s="13"/>
      <c r="O118" s="13"/>
      <c r="P118" s="13"/>
      <c r="Q118" s="78"/>
      <c r="R118" s="78"/>
      <c r="S118" s="78"/>
      <c r="T118" s="10">
        <f t="shared" ref="T118:BI118" si="163">T$9*(T$87*10^-6)</f>
        <v>4.1459055406429171</v>
      </c>
      <c r="U118" s="10">
        <f t="shared" si="163"/>
        <v>4.2501356554398422</v>
      </c>
      <c r="V118" s="10">
        <f t="shared" si="163"/>
        <v>5.3692999710645282</v>
      </c>
      <c r="W118" s="10">
        <f t="shared" si="163"/>
        <v>7.1560639946661402</v>
      </c>
      <c r="X118" s="10">
        <f t="shared" si="163"/>
        <v>9.0800798608193549</v>
      </c>
      <c r="Y118" s="10">
        <f t="shared" si="163"/>
        <v>10.167395504207997</v>
      </c>
      <c r="Z118" s="10">
        <f t="shared" si="163"/>
        <v>11.101677302238675</v>
      </c>
      <c r="AA118" s="10">
        <f t="shared" si="163"/>
        <v>11.987824432220961</v>
      </c>
      <c r="AB118" s="10">
        <f t="shared" si="163"/>
        <v>12.82583689415485</v>
      </c>
      <c r="AC118" s="10">
        <f t="shared" si="163"/>
        <v>13.615714688040343</v>
      </c>
      <c r="AD118" s="10">
        <f t="shared" si="163"/>
        <v>14.357457813877435</v>
      </c>
      <c r="AE118" s="10">
        <f t="shared" si="163"/>
        <v>14.699190838382481</v>
      </c>
      <c r="AF118" s="10">
        <f t="shared" si="163"/>
        <v>15.560643032897715</v>
      </c>
      <c r="AG118" s="10">
        <f t="shared" si="163"/>
        <v>16.263994500630641</v>
      </c>
      <c r="AH118" s="10">
        <f t="shared" si="163"/>
        <v>16.809245241581259</v>
      </c>
      <c r="AI118" s="10">
        <f t="shared" si="163"/>
        <v>17.196395255749568</v>
      </c>
      <c r="AJ118" s="10">
        <f t="shared" si="163"/>
        <v>17.91985013669391</v>
      </c>
      <c r="AK118" s="10">
        <f t="shared" si="163"/>
        <v>18.51180305019431</v>
      </c>
      <c r="AL118" s="10">
        <f t="shared" si="163"/>
        <v>19.019757850548416</v>
      </c>
      <c r="AM118" s="10">
        <f t="shared" si="163"/>
        <v>19.443714537756236</v>
      </c>
      <c r="AN118" s="10">
        <f t="shared" si="163"/>
        <v>19.783673111817762</v>
      </c>
      <c r="AO118" s="10">
        <f t="shared" si="163"/>
        <v>20.856281894988605</v>
      </c>
      <c r="AP118" s="10">
        <f t="shared" si="163"/>
        <v>21.928890678159444</v>
      </c>
      <c r="AQ118" s="10">
        <f t="shared" si="163"/>
        <v>23.00149946133029</v>
      </c>
      <c r="AR118" s="10">
        <f t="shared" si="163"/>
        <v>24.074108244501133</v>
      </c>
      <c r="AS118" s="10">
        <f t="shared" si="163"/>
        <v>25.146717027671976</v>
      </c>
      <c r="AT118" s="10">
        <f t="shared" si="163"/>
        <v>26.219325810842818</v>
      </c>
      <c r="AU118" s="10">
        <f t="shared" si="163"/>
        <v>27.331660845242212</v>
      </c>
      <c r="AV118" s="10">
        <f t="shared" si="163"/>
        <v>28.443995879641605</v>
      </c>
      <c r="AW118" s="10">
        <f t="shared" si="163"/>
        <v>29.556330914040998</v>
      </c>
      <c r="AX118" s="10">
        <f t="shared" si="163"/>
        <v>30.668665948440385</v>
      </c>
      <c r="AY118" s="10">
        <f t="shared" si="163"/>
        <v>31.781000982839778</v>
      </c>
      <c r="AZ118" s="10">
        <f t="shared" si="163"/>
        <v>31.781000982839778</v>
      </c>
      <c r="BA118" s="10">
        <f t="shared" si="163"/>
        <v>31.781000982839778</v>
      </c>
      <c r="BB118" s="10">
        <f t="shared" si="163"/>
        <v>31.781000982839778</v>
      </c>
      <c r="BC118" s="10">
        <f t="shared" si="163"/>
        <v>31.781000982839778</v>
      </c>
      <c r="BD118" s="10">
        <f t="shared" si="163"/>
        <v>31.781000982839778</v>
      </c>
      <c r="BE118" s="10">
        <f t="shared" si="163"/>
        <v>31.781000982839778</v>
      </c>
      <c r="BF118" s="10">
        <f t="shared" si="163"/>
        <v>31.781000982839778</v>
      </c>
      <c r="BG118" s="10">
        <f t="shared" si="163"/>
        <v>31.781000982839778</v>
      </c>
      <c r="BH118" s="10">
        <f t="shared" si="163"/>
        <v>31.781000982839778</v>
      </c>
      <c r="BI118" s="10">
        <f t="shared" si="163"/>
        <v>31.781000982839778</v>
      </c>
    </row>
    <row r="119" spans="1:61" ht="30">
      <c r="A119" s="8" t="s">
        <v>39</v>
      </c>
      <c r="B119" s="110" t="s">
        <v>31</v>
      </c>
      <c r="C119" s="13"/>
      <c r="D119" s="13"/>
      <c r="E119" s="13"/>
      <c r="F119" s="13"/>
      <c r="G119" s="13"/>
      <c r="H119" s="13"/>
      <c r="I119" s="13"/>
      <c r="J119" s="13"/>
      <c r="K119" s="13"/>
      <c r="L119" s="13"/>
      <c r="M119" s="13"/>
      <c r="N119" s="13"/>
      <c r="O119" s="13"/>
      <c r="P119" s="13"/>
      <c r="Q119" s="78"/>
      <c r="R119" s="78"/>
      <c r="S119" s="78"/>
      <c r="T119" s="10">
        <f t="shared" ref="T119:BI119" si="164">T$9*(T$88*10^-6)</f>
        <v>4.1459055406429171</v>
      </c>
      <c r="U119" s="10">
        <f t="shared" si="164"/>
        <v>4.2501356554398422</v>
      </c>
      <c r="V119" s="10">
        <f t="shared" si="164"/>
        <v>5.3692999710645282</v>
      </c>
      <c r="W119" s="10">
        <f t="shared" si="164"/>
        <v>7.1560639946661402</v>
      </c>
      <c r="X119" s="10">
        <f t="shared" si="164"/>
        <v>9.0800798608193549</v>
      </c>
      <c r="Y119" s="10">
        <f t="shared" si="164"/>
        <v>10.167395504207997</v>
      </c>
      <c r="Z119" s="10">
        <f t="shared" si="164"/>
        <v>11.101677302238675</v>
      </c>
      <c r="AA119" s="10">
        <f t="shared" si="164"/>
        <v>11.987824432220961</v>
      </c>
      <c r="AB119" s="10">
        <f t="shared" si="164"/>
        <v>12.82583689415485</v>
      </c>
      <c r="AC119" s="10">
        <f t="shared" si="164"/>
        <v>13.615714688040343</v>
      </c>
      <c r="AD119" s="10">
        <f t="shared" si="164"/>
        <v>14.357457813877435</v>
      </c>
      <c r="AE119" s="10">
        <f t="shared" si="164"/>
        <v>14.699190838382481</v>
      </c>
      <c r="AF119" s="10">
        <f t="shared" si="164"/>
        <v>15.560643032897715</v>
      </c>
      <c r="AG119" s="10">
        <f t="shared" si="164"/>
        <v>16.263994500630641</v>
      </c>
      <c r="AH119" s="10">
        <f t="shared" si="164"/>
        <v>16.809245241581259</v>
      </c>
      <c r="AI119" s="10">
        <f t="shared" si="164"/>
        <v>17.196395255749568</v>
      </c>
      <c r="AJ119" s="10">
        <f t="shared" si="164"/>
        <v>17.91985013669391</v>
      </c>
      <c r="AK119" s="10">
        <f t="shared" si="164"/>
        <v>18.51180305019431</v>
      </c>
      <c r="AL119" s="10">
        <f t="shared" si="164"/>
        <v>19.019757850548416</v>
      </c>
      <c r="AM119" s="10">
        <f t="shared" si="164"/>
        <v>19.443714537756236</v>
      </c>
      <c r="AN119" s="10">
        <f t="shared" si="164"/>
        <v>19.783673111817762</v>
      </c>
      <c r="AO119" s="10">
        <f t="shared" si="164"/>
        <v>20.856281894988605</v>
      </c>
      <c r="AP119" s="10">
        <f t="shared" si="164"/>
        <v>21.928890678159444</v>
      </c>
      <c r="AQ119" s="10">
        <f t="shared" si="164"/>
        <v>23.00149946133029</v>
      </c>
      <c r="AR119" s="10">
        <f t="shared" si="164"/>
        <v>24.074108244501133</v>
      </c>
      <c r="AS119" s="10">
        <f t="shared" si="164"/>
        <v>25.146717027671976</v>
      </c>
      <c r="AT119" s="10">
        <f t="shared" si="164"/>
        <v>26.219325810842818</v>
      </c>
      <c r="AU119" s="10">
        <f t="shared" si="164"/>
        <v>27.331660845242212</v>
      </c>
      <c r="AV119" s="10">
        <f t="shared" si="164"/>
        <v>28.443995879641605</v>
      </c>
      <c r="AW119" s="10">
        <f t="shared" si="164"/>
        <v>29.556330914040998</v>
      </c>
      <c r="AX119" s="10">
        <f t="shared" si="164"/>
        <v>30.668665948440385</v>
      </c>
      <c r="AY119" s="10">
        <f t="shared" si="164"/>
        <v>31.781000982839778</v>
      </c>
      <c r="AZ119" s="10">
        <f t="shared" si="164"/>
        <v>31.781000982839778</v>
      </c>
      <c r="BA119" s="10">
        <f t="shared" si="164"/>
        <v>31.781000982839778</v>
      </c>
      <c r="BB119" s="10">
        <f t="shared" si="164"/>
        <v>31.781000982839778</v>
      </c>
      <c r="BC119" s="10">
        <f t="shared" si="164"/>
        <v>31.781000982839778</v>
      </c>
      <c r="BD119" s="10">
        <f t="shared" si="164"/>
        <v>31.781000982839778</v>
      </c>
      <c r="BE119" s="10">
        <f t="shared" si="164"/>
        <v>31.781000982839778</v>
      </c>
      <c r="BF119" s="10">
        <f t="shared" si="164"/>
        <v>31.781000982839778</v>
      </c>
      <c r="BG119" s="10">
        <f t="shared" si="164"/>
        <v>31.781000982839778</v>
      </c>
      <c r="BH119" s="10">
        <f t="shared" si="164"/>
        <v>31.781000982839778</v>
      </c>
      <c r="BI119" s="10">
        <f t="shared" si="164"/>
        <v>31.781000982839778</v>
      </c>
    </row>
    <row r="120" spans="1:61" s="515" customFormat="1">
      <c r="A120" s="757" t="s">
        <v>200</v>
      </c>
      <c r="B120" s="663" t="s">
        <v>309</v>
      </c>
      <c r="C120" s="649"/>
      <c r="D120" s="649"/>
      <c r="E120" s="649"/>
      <c r="F120" s="649"/>
      <c r="G120" s="649"/>
      <c r="H120" s="649"/>
      <c r="I120" s="649"/>
      <c r="J120" s="649"/>
      <c r="K120" s="649"/>
      <c r="L120" s="649"/>
      <c r="M120" s="649"/>
      <c r="N120" s="649"/>
      <c r="O120" s="649"/>
      <c r="P120" s="652"/>
      <c r="Q120" s="6"/>
      <c r="R120" s="6"/>
      <c r="S120" s="6"/>
      <c r="T120" s="6">
        <v>2020</v>
      </c>
      <c r="U120" s="6">
        <f>T120+1</f>
        <v>2021</v>
      </c>
      <c r="V120" s="6">
        <f t="shared" ref="V120:BI120" si="165">U120+1</f>
        <v>2022</v>
      </c>
      <c r="W120" s="6">
        <f t="shared" si="165"/>
        <v>2023</v>
      </c>
      <c r="X120" s="6">
        <f t="shared" si="165"/>
        <v>2024</v>
      </c>
      <c r="Y120" s="6">
        <f t="shared" si="165"/>
        <v>2025</v>
      </c>
      <c r="Z120" s="6">
        <f t="shared" si="165"/>
        <v>2026</v>
      </c>
      <c r="AA120" s="6">
        <f t="shared" si="165"/>
        <v>2027</v>
      </c>
      <c r="AB120" s="6">
        <f t="shared" si="165"/>
        <v>2028</v>
      </c>
      <c r="AC120" s="6">
        <f t="shared" si="165"/>
        <v>2029</v>
      </c>
      <c r="AD120" s="6">
        <f t="shared" si="165"/>
        <v>2030</v>
      </c>
      <c r="AE120" s="6">
        <f t="shared" si="165"/>
        <v>2031</v>
      </c>
      <c r="AF120" s="6">
        <f t="shared" si="165"/>
        <v>2032</v>
      </c>
      <c r="AG120" s="6">
        <f t="shared" si="165"/>
        <v>2033</v>
      </c>
      <c r="AH120" s="6">
        <f t="shared" si="165"/>
        <v>2034</v>
      </c>
      <c r="AI120" s="6">
        <f t="shared" si="165"/>
        <v>2035</v>
      </c>
      <c r="AJ120" s="6">
        <f t="shared" si="165"/>
        <v>2036</v>
      </c>
      <c r="AK120" s="6">
        <f t="shared" si="165"/>
        <v>2037</v>
      </c>
      <c r="AL120" s="6">
        <f t="shared" si="165"/>
        <v>2038</v>
      </c>
      <c r="AM120" s="6">
        <f t="shared" si="165"/>
        <v>2039</v>
      </c>
      <c r="AN120" s="6">
        <f t="shared" si="165"/>
        <v>2040</v>
      </c>
      <c r="AO120" s="6">
        <f t="shared" si="165"/>
        <v>2041</v>
      </c>
      <c r="AP120" s="6">
        <f t="shared" si="165"/>
        <v>2042</v>
      </c>
      <c r="AQ120" s="6">
        <f t="shared" si="165"/>
        <v>2043</v>
      </c>
      <c r="AR120" s="6">
        <f t="shared" si="165"/>
        <v>2044</v>
      </c>
      <c r="AS120" s="6">
        <f t="shared" si="165"/>
        <v>2045</v>
      </c>
      <c r="AT120" s="6">
        <f t="shared" si="165"/>
        <v>2046</v>
      </c>
      <c r="AU120" s="6">
        <f t="shared" si="165"/>
        <v>2047</v>
      </c>
      <c r="AV120" s="6">
        <f t="shared" si="165"/>
        <v>2048</v>
      </c>
      <c r="AW120" s="6">
        <f t="shared" si="165"/>
        <v>2049</v>
      </c>
      <c r="AX120" s="6">
        <f t="shared" si="165"/>
        <v>2050</v>
      </c>
      <c r="AY120" s="6">
        <f t="shared" si="165"/>
        <v>2051</v>
      </c>
      <c r="AZ120" s="6">
        <f t="shared" si="165"/>
        <v>2052</v>
      </c>
      <c r="BA120" s="6">
        <f t="shared" si="165"/>
        <v>2053</v>
      </c>
      <c r="BB120" s="6">
        <f t="shared" si="165"/>
        <v>2054</v>
      </c>
      <c r="BC120" s="6">
        <f t="shared" si="165"/>
        <v>2055</v>
      </c>
      <c r="BD120" s="6">
        <f t="shared" si="165"/>
        <v>2056</v>
      </c>
      <c r="BE120" s="6">
        <f t="shared" si="165"/>
        <v>2057</v>
      </c>
      <c r="BF120" s="6">
        <f t="shared" si="165"/>
        <v>2058</v>
      </c>
      <c r="BG120" s="6">
        <f t="shared" si="165"/>
        <v>2059</v>
      </c>
      <c r="BH120" s="6">
        <f t="shared" si="165"/>
        <v>2060</v>
      </c>
      <c r="BI120" s="6">
        <f t="shared" si="165"/>
        <v>2061</v>
      </c>
    </row>
    <row r="121" spans="1:61">
      <c r="A121" s="758"/>
      <c r="B121" s="664" t="s">
        <v>510</v>
      </c>
      <c r="C121" s="659"/>
      <c r="D121" s="659"/>
      <c r="E121" s="659"/>
      <c r="F121" s="659"/>
      <c r="G121" s="659"/>
      <c r="H121" s="659"/>
      <c r="I121" s="659"/>
      <c r="J121" s="659"/>
      <c r="K121" s="659"/>
      <c r="L121" s="659"/>
      <c r="M121" s="659"/>
      <c r="N121" s="659"/>
      <c r="O121" s="659"/>
      <c r="P121" s="665"/>
      <c r="Q121" s="661">
        <f>DATE(2016,12,31)</f>
        <v>42735</v>
      </c>
      <c r="R121" s="661">
        <f>DATE(YEAR(Q121+1),12,31)</f>
        <v>43100</v>
      </c>
      <c r="S121" s="661">
        <f t="shared" ref="S121" si="166">DATE(YEAR(R121+1),12,31)</f>
        <v>43465</v>
      </c>
      <c r="T121" s="661">
        <f>DATE(YEAR(S121+1),12,31)</f>
        <v>43830</v>
      </c>
      <c r="U121" s="661">
        <f t="shared" ref="U121:BI121" si="167">DATE(YEAR(T121+1),12,31)</f>
        <v>44196</v>
      </c>
      <c r="V121" s="661">
        <f t="shared" si="167"/>
        <v>44561</v>
      </c>
      <c r="W121" s="661">
        <f t="shared" si="167"/>
        <v>44926</v>
      </c>
      <c r="X121" s="661">
        <f t="shared" si="167"/>
        <v>45291</v>
      </c>
      <c r="Y121" s="661">
        <f t="shared" si="167"/>
        <v>45657</v>
      </c>
      <c r="Z121" s="661">
        <f t="shared" si="167"/>
        <v>46022</v>
      </c>
      <c r="AA121" s="661">
        <f t="shared" si="167"/>
        <v>46387</v>
      </c>
      <c r="AB121" s="661">
        <f t="shared" si="167"/>
        <v>46752</v>
      </c>
      <c r="AC121" s="661">
        <f t="shared" si="167"/>
        <v>47118</v>
      </c>
      <c r="AD121" s="661">
        <f t="shared" si="167"/>
        <v>47483</v>
      </c>
      <c r="AE121" s="661">
        <f t="shared" si="167"/>
        <v>47848</v>
      </c>
      <c r="AF121" s="661">
        <f t="shared" si="167"/>
        <v>48213</v>
      </c>
      <c r="AG121" s="661">
        <f t="shared" si="167"/>
        <v>48579</v>
      </c>
      <c r="AH121" s="661">
        <f t="shared" si="167"/>
        <v>48944</v>
      </c>
      <c r="AI121" s="661">
        <f t="shared" si="167"/>
        <v>49309</v>
      </c>
      <c r="AJ121" s="661">
        <f t="shared" si="167"/>
        <v>49674</v>
      </c>
      <c r="AK121" s="661">
        <f t="shared" si="167"/>
        <v>50040</v>
      </c>
      <c r="AL121" s="661">
        <f t="shared" si="167"/>
        <v>50405</v>
      </c>
      <c r="AM121" s="661">
        <f t="shared" si="167"/>
        <v>50770</v>
      </c>
      <c r="AN121" s="661">
        <f t="shared" si="167"/>
        <v>51135</v>
      </c>
      <c r="AO121" s="661">
        <f t="shared" si="167"/>
        <v>51501</v>
      </c>
      <c r="AP121" s="661">
        <f t="shared" si="167"/>
        <v>51866</v>
      </c>
      <c r="AQ121" s="661">
        <f t="shared" si="167"/>
        <v>52231</v>
      </c>
      <c r="AR121" s="661">
        <f t="shared" si="167"/>
        <v>52596</v>
      </c>
      <c r="AS121" s="661">
        <f t="shared" si="167"/>
        <v>52962</v>
      </c>
      <c r="AT121" s="661">
        <f t="shared" si="167"/>
        <v>53327</v>
      </c>
      <c r="AU121" s="661">
        <f t="shared" si="167"/>
        <v>53692</v>
      </c>
      <c r="AV121" s="661">
        <f t="shared" si="167"/>
        <v>54057</v>
      </c>
      <c r="AW121" s="661">
        <f t="shared" si="167"/>
        <v>54423</v>
      </c>
      <c r="AX121" s="661">
        <f t="shared" si="167"/>
        <v>54788</v>
      </c>
      <c r="AY121" s="661">
        <f t="shared" si="167"/>
        <v>55153</v>
      </c>
      <c r="AZ121" s="661">
        <f t="shared" si="167"/>
        <v>55518</v>
      </c>
      <c r="BA121" s="661">
        <f t="shared" si="167"/>
        <v>55884</v>
      </c>
      <c r="BB121" s="661">
        <f t="shared" si="167"/>
        <v>56249</v>
      </c>
      <c r="BC121" s="661">
        <f t="shared" si="167"/>
        <v>56614</v>
      </c>
      <c r="BD121" s="661">
        <f t="shared" si="167"/>
        <v>56979</v>
      </c>
      <c r="BE121" s="661">
        <f t="shared" si="167"/>
        <v>57345</v>
      </c>
      <c r="BF121" s="661">
        <f t="shared" si="167"/>
        <v>57710</v>
      </c>
      <c r="BG121" s="661">
        <f t="shared" si="167"/>
        <v>58075</v>
      </c>
      <c r="BH121" s="661">
        <f t="shared" si="167"/>
        <v>58440</v>
      </c>
      <c r="BI121" s="661">
        <f t="shared" si="167"/>
        <v>58806</v>
      </c>
    </row>
    <row r="122" spans="1:61" ht="30">
      <c r="A122" s="8" t="str">
        <f>A116</f>
        <v>Średnio, wszystkie rodzaje 
(1000t - 21 wagonów)</v>
      </c>
      <c r="B122" s="110" t="s">
        <v>31</v>
      </c>
      <c r="C122" s="13"/>
      <c r="D122" s="13"/>
      <c r="E122" s="13"/>
      <c r="F122" s="13"/>
      <c r="G122" s="13"/>
      <c r="H122" s="13"/>
      <c r="I122" s="13"/>
      <c r="J122" s="13"/>
      <c r="K122" s="13"/>
      <c r="L122" s="13"/>
      <c r="M122" s="13"/>
      <c r="N122" s="13"/>
      <c r="O122" s="13"/>
      <c r="P122" s="13"/>
      <c r="Q122" s="78"/>
      <c r="R122" s="78"/>
      <c r="S122" s="78"/>
      <c r="T122" s="10">
        <f t="shared" ref="T122:BI122" si="168">T$9*(T$90*10^-6)</f>
        <v>11.940361113239231</v>
      </c>
      <c r="U122" s="10">
        <f t="shared" si="168"/>
        <v>12.346333391089363</v>
      </c>
      <c r="V122" s="10">
        <f t="shared" si="168"/>
        <v>15.73339562776734</v>
      </c>
      <c r="W122" s="10">
        <f t="shared" si="168"/>
        <v>21.153469321555729</v>
      </c>
      <c r="X122" s="10">
        <f t="shared" si="168"/>
        <v>27.079038526069418</v>
      </c>
      <c r="Y122" s="10">
        <f t="shared" si="168"/>
        <v>30.593112227925754</v>
      </c>
      <c r="Z122" s="10">
        <f t="shared" si="168"/>
        <v>34.107185929782091</v>
      </c>
      <c r="AA122" s="10">
        <f t="shared" si="168"/>
        <v>37.621259631638431</v>
      </c>
      <c r="AB122" s="10">
        <f t="shared" si="168"/>
        <v>41.135333333494764</v>
      </c>
      <c r="AC122" s="10">
        <f t="shared" si="168"/>
        <v>44.649407035351103</v>
      </c>
      <c r="AD122" s="10">
        <f t="shared" si="168"/>
        <v>48.163480737207436</v>
      </c>
      <c r="AE122" s="10">
        <f t="shared" si="168"/>
        <v>51.677554439063776</v>
      </c>
      <c r="AF122" s="10">
        <f t="shared" si="168"/>
        <v>57.465440536238916</v>
      </c>
      <c r="AG122" s="10">
        <f t="shared" si="168"/>
        <v>63.253326633414069</v>
      </c>
      <c r="AH122" s="10">
        <f t="shared" si="168"/>
        <v>69.041212730589208</v>
      </c>
      <c r="AI122" s="10">
        <f t="shared" si="168"/>
        <v>74.829098827764341</v>
      </c>
      <c r="AJ122" s="10">
        <f t="shared" si="168"/>
        <v>80.616984924939501</v>
      </c>
      <c r="AK122" s="10">
        <f t="shared" si="168"/>
        <v>86.19816080435838</v>
      </c>
      <c r="AL122" s="10">
        <f t="shared" si="168"/>
        <v>91.779336683777274</v>
      </c>
      <c r="AM122" s="10">
        <f t="shared" si="168"/>
        <v>97.360512563196153</v>
      </c>
      <c r="AN122" s="10">
        <f t="shared" si="168"/>
        <v>102.94168844261505</v>
      </c>
      <c r="AO122" s="10">
        <f t="shared" si="168"/>
        <v>108.52286432203393</v>
      </c>
      <c r="AP122" s="10">
        <f t="shared" si="168"/>
        <v>114.1040402014528</v>
      </c>
      <c r="AQ122" s="10">
        <f t="shared" si="168"/>
        <v>119.68521608087171</v>
      </c>
      <c r="AR122" s="10">
        <f t="shared" si="168"/>
        <v>125.2663919602906</v>
      </c>
      <c r="AS122" s="10">
        <f t="shared" si="168"/>
        <v>130.84756783970948</v>
      </c>
      <c r="AT122" s="10">
        <f t="shared" si="168"/>
        <v>136.42874371912836</v>
      </c>
      <c r="AU122" s="10">
        <f t="shared" si="168"/>
        <v>142.21662981630351</v>
      </c>
      <c r="AV122" s="10">
        <f t="shared" si="168"/>
        <v>148.00451591347866</v>
      </c>
      <c r="AW122" s="10">
        <f t="shared" si="168"/>
        <v>153.79240201065383</v>
      </c>
      <c r="AX122" s="10">
        <f t="shared" si="168"/>
        <v>159.58028810782895</v>
      </c>
      <c r="AY122" s="10">
        <f t="shared" si="168"/>
        <v>165.3681742050041</v>
      </c>
      <c r="AZ122" s="10">
        <f t="shared" si="168"/>
        <v>165.3681742050041</v>
      </c>
      <c r="BA122" s="10">
        <f t="shared" si="168"/>
        <v>165.3681742050041</v>
      </c>
      <c r="BB122" s="10">
        <f t="shared" si="168"/>
        <v>165.3681742050041</v>
      </c>
      <c r="BC122" s="10">
        <f t="shared" si="168"/>
        <v>165.3681742050041</v>
      </c>
      <c r="BD122" s="10">
        <f t="shared" si="168"/>
        <v>165.3681742050041</v>
      </c>
      <c r="BE122" s="10">
        <f t="shared" si="168"/>
        <v>165.3681742050041</v>
      </c>
      <c r="BF122" s="10">
        <f t="shared" si="168"/>
        <v>165.3681742050041</v>
      </c>
      <c r="BG122" s="10">
        <f t="shared" si="168"/>
        <v>165.3681742050041</v>
      </c>
      <c r="BH122" s="10">
        <f t="shared" si="168"/>
        <v>165.3681742050041</v>
      </c>
      <c r="BI122" s="10">
        <f t="shared" si="168"/>
        <v>165.3681742050041</v>
      </c>
    </row>
    <row r="123" spans="1:61" ht="30">
      <c r="A123" s="8" t="str">
        <f>A117</f>
        <v>Masowe 
(1000t - 18 wagonów)</v>
      </c>
      <c r="B123" s="110" t="s">
        <v>31</v>
      </c>
      <c r="C123" s="13"/>
      <c r="D123" s="13"/>
      <c r="E123" s="13"/>
      <c r="F123" s="13"/>
      <c r="G123" s="13"/>
      <c r="H123" s="13"/>
      <c r="I123" s="13"/>
      <c r="J123" s="13"/>
      <c r="K123" s="13"/>
      <c r="L123" s="13"/>
      <c r="M123" s="13"/>
      <c r="N123" s="13"/>
      <c r="O123" s="13"/>
      <c r="P123" s="13"/>
      <c r="Q123" s="78"/>
      <c r="R123" s="78"/>
      <c r="S123" s="78"/>
      <c r="T123" s="10">
        <f t="shared" ref="T123:BI123" si="169">T$9*(T$91*10^-6)</f>
        <v>11.940361113239231</v>
      </c>
      <c r="U123" s="10">
        <f t="shared" si="169"/>
        <v>12.346333391089363</v>
      </c>
      <c r="V123" s="10">
        <f t="shared" si="169"/>
        <v>15.73339562776734</v>
      </c>
      <c r="W123" s="10">
        <f t="shared" si="169"/>
        <v>21.153469321555729</v>
      </c>
      <c r="X123" s="10">
        <f t="shared" si="169"/>
        <v>27.079038526069418</v>
      </c>
      <c r="Y123" s="10">
        <f t="shared" si="169"/>
        <v>30.593112227925754</v>
      </c>
      <c r="Z123" s="10">
        <f t="shared" si="169"/>
        <v>34.107185929782091</v>
      </c>
      <c r="AA123" s="10">
        <f t="shared" si="169"/>
        <v>37.621259631638431</v>
      </c>
      <c r="AB123" s="10">
        <f t="shared" si="169"/>
        <v>41.135333333494764</v>
      </c>
      <c r="AC123" s="10">
        <f t="shared" si="169"/>
        <v>44.649407035351103</v>
      </c>
      <c r="AD123" s="10">
        <f t="shared" si="169"/>
        <v>48.163480737207436</v>
      </c>
      <c r="AE123" s="10">
        <f t="shared" si="169"/>
        <v>51.677554439063776</v>
      </c>
      <c r="AF123" s="10">
        <f t="shared" si="169"/>
        <v>57.465440536238916</v>
      </c>
      <c r="AG123" s="10">
        <f t="shared" si="169"/>
        <v>63.253326633414069</v>
      </c>
      <c r="AH123" s="10">
        <f t="shared" si="169"/>
        <v>69.041212730589208</v>
      </c>
      <c r="AI123" s="10">
        <f t="shared" si="169"/>
        <v>74.829098827764341</v>
      </c>
      <c r="AJ123" s="10">
        <f t="shared" si="169"/>
        <v>80.616984924939501</v>
      </c>
      <c r="AK123" s="10">
        <f t="shared" si="169"/>
        <v>86.19816080435838</v>
      </c>
      <c r="AL123" s="10">
        <f t="shared" si="169"/>
        <v>91.779336683777274</v>
      </c>
      <c r="AM123" s="10">
        <f t="shared" si="169"/>
        <v>97.360512563196153</v>
      </c>
      <c r="AN123" s="10">
        <f t="shared" si="169"/>
        <v>102.94168844261505</v>
      </c>
      <c r="AO123" s="10">
        <f t="shared" si="169"/>
        <v>108.52286432203393</v>
      </c>
      <c r="AP123" s="10">
        <f t="shared" si="169"/>
        <v>114.1040402014528</v>
      </c>
      <c r="AQ123" s="10">
        <f t="shared" si="169"/>
        <v>119.68521608087171</v>
      </c>
      <c r="AR123" s="10">
        <f t="shared" si="169"/>
        <v>125.2663919602906</v>
      </c>
      <c r="AS123" s="10">
        <f t="shared" si="169"/>
        <v>130.84756783970948</v>
      </c>
      <c r="AT123" s="10">
        <f t="shared" si="169"/>
        <v>136.42874371912836</v>
      </c>
      <c r="AU123" s="10">
        <f t="shared" si="169"/>
        <v>142.21662981630351</v>
      </c>
      <c r="AV123" s="10">
        <f t="shared" si="169"/>
        <v>148.00451591347866</v>
      </c>
      <c r="AW123" s="10">
        <f t="shared" si="169"/>
        <v>153.79240201065383</v>
      </c>
      <c r="AX123" s="10">
        <f t="shared" si="169"/>
        <v>159.58028810782895</v>
      </c>
      <c r="AY123" s="10">
        <f t="shared" si="169"/>
        <v>165.3681742050041</v>
      </c>
      <c r="AZ123" s="10">
        <f t="shared" si="169"/>
        <v>165.3681742050041</v>
      </c>
      <c r="BA123" s="10">
        <f t="shared" si="169"/>
        <v>165.3681742050041</v>
      </c>
      <c r="BB123" s="10">
        <f t="shared" si="169"/>
        <v>165.3681742050041</v>
      </c>
      <c r="BC123" s="10">
        <f t="shared" si="169"/>
        <v>165.3681742050041</v>
      </c>
      <c r="BD123" s="10">
        <f t="shared" si="169"/>
        <v>165.3681742050041</v>
      </c>
      <c r="BE123" s="10">
        <f t="shared" si="169"/>
        <v>165.3681742050041</v>
      </c>
      <c r="BF123" s="10">
        <f t="shared" si="169"/>
        <v>165.3681742050041</v>
      </c>
      <c r="BG123" s="10">
        <f t="shared" si="169"/>
        <v>165.3681742050041</v>
      </c>
      <c r="BH123" s="10">
        <f t="shared" si="169"/>
        <v>165.3681742050041</v>
      </c>
      <c r="BI123" s="10">
        <f t="shared" si="169"/>
        <v>165.3681742050041</v>
      </c>
    </row>
    <row r="124" spans="1:61" ht="30">
      <c r="A124" s="8" t="str">
        <f>A118</f>
        <v>Gabarytowe 
(1000t - 26 wagonów)</v>
      </c>
      <c r="B124" s="110" t="s">
        <v>31</v>
      </c>
      <c r="C124" s="13"/>
      <c r="D124" s="13"/>
      <c r="E124" s="13"/>
      <c r="F124" s="13"/>
      <c r="G124" s="13"/>
      <c r="H124" s="13"/>
      <c r="I124" s="13"/>
      <c r="J124" s="13"/>
      <c r="K124" s="13"/>
      <c r="L124" s="13"/>
      <c r="M124" s="13"/>
      <c r="N124" s="13"/>
      <c r="O124" s="13"/>
      <c r="P124" s="13"/>
      <c r="Q124" s="78"/>
      <c r="R124" s="78"/>
      <c r="S124" s="78"/>
      <c r="T124" s="10">
        <f t="shared" ref="T124:BI124" si="170">T$9*(T$92*10^-6)</f>
        <v>11.940361113239231</v>
      </c>
      <c r="U124" s="10">
        <f t="shared" si="170"/>
        <v>12.346333391089363</v>
      </c>
      <c r="V124" s="10">
        <f t="shared" si="170"/>
        <v>15.73339562776734</v>
      </c>
      <c r="W124" s="10">
        <f t="shared" si="170"/>
        <v>21.153469321555729</v>
      </c>
      <c r="X124" s="10">
        <f t="shared" si="170"/>
        <v>27.079038526069418</v>
      </c>
      <c r="Y124" s="10">
        <f t="shared" si="170"/>
        <v>30.593112227925754</v>
      </c>
      <c r="Z124" s="10">
        <f t="shared" si="170"/>
        <v>34.107185929782091</v>
      </c>
      <c r="AA124" s="10">
        <f t="shared" si="170"/>
        <v>37.621259631638431</v>
      </c>
      <c r="AB124" s="10">
        <f t="shared" si="170"/>
        <v>41.135333333494764</v>
      </c>
      <c r="AC124" s="10">
        <f t="shared" si="170"/>
        <v>44.649407035351103</v>
      </c>
      <c r="AD124" s="10">
        <f t="shared" si="170"/>
        <v>48.163480737207436</v>
      </c>
      <c r="AE124" s="10">
        <f t="shared" si="170"/>
        <v>51.677554439063776</v>
      </c>
      <c r="AF124" s="10">
        <f t="shared" si="170"/>
        <v>57.465440536238916</v>
      </c>
      <c r="AG124" s="10">
        <f t="shared" si="170"/>
        <v>63.253326633414069</v>
      </c>
      <c r="AH124" s="10">
        <f t="shared" si="170"/>
        <v>69.041212730589208</v>
      </c>
      <c r="AI124" s="10">
        <f t="shared" si="170"/>
        <v>74.829098827764341</v>
      </c>
      <c r="AJ124" s="10">
        <f t="shared" si="170"/>
        <v>80.616984924939501</v>
      </c>
      <c r="AK124" s="10">
        <f t="shared" si="170"/>
        <v>86.19816080435838</v>
      </c>
      <c r="AL124" s="10">
        <f t="shared" si="170"/>
        <v>91.779336683777274</v>
      </c>
      <c r="AM124" s="10">
        <f t="shared" si="170"/>
        <v>97.360512563196153</v>
      </c>
      <c r="AN124" s="10">
        <f t="shared" si="170"/>
        <v>102.94168844261505</v>
      </c>
      <c r="AO124" s="10">
        <f t="shared" si="170"/>
        <v>108.52286432203393</v>
      </c>
      <c r="AP124" s="10">
        <f t="shared" si="170"/>
        <v>114.1040402014528</v>
      </c>
      <c r="AQ124" s="10">
        <f t="shared" si="170"/>
        <v>119.68521608087171</v>
      </c>
      <c r="AR124" s="10">
        <f t="shared" si="170"/>
        <v>125.2663919602906</v>
      </c>
      <c r="AS124" s="10">
        <f t="shared" si="170"/>
        <v>130.84756783970948</v>
      </c>
      <c r="AT124" s="10">
        <f t="shared" si="170"/>
        <v>136.42874371912836</v>
      </c>
      <c r="AU124" s="10">
        <f t="shared" si="170"/>
        <v>142.21662981630351</v>
      </c>
      <c r="AV124" s="10">
        <f t="shared" si="170"/>
        <v>148.00451591347866</v>
      </c>
      <c r="AW124" s="10">
        <f t="shared" si="170"/>
        <v>153.79240201065383</v>
      </c>
      <c r="AX124" s="10">
        <f t="shared" si="170"/>
        <v>159.58028810782895</v>
      </c>
      <c r="AY124" s="10">
        <f t="shared" si="170"/>
        <v>165.3681742050041</v>
      </c>
      <c r="AZ124" s="10">
        <f t="shared" si="170"/>
        <v>165.3681742050041</v>
      </c>
      <c r="BA124" s="10">
        <f t="shared" si="170"/>
        <v>165.3681742050041</v>
      </c>
      <c r="BB124" s="10">
        <f t="shared" si="170"/>
        <v>165.3681742050041</v>
      </c>
      <c r="BC124" s="10">
        <f t="shared" si="170"/>
        <v>165.3681742050041</v>
      </c>
      <c r="BD124" s="10">
        <f t="shared" si="170"/>
        <v>165.3681742050041</v>
      </c>
      <c r="BE124" s="10">
        <f t="shared" si="170"/>
        <v>165.3681742050041</v>
      </c>
      <c r="BF124" s="10">
        <f t="shared" si="170"/>
        <v>165.3681742050041</v>
      </c>
      <c r="BG124" s="10">
        <f t="shared" si="170"/>
        <v>165.3681742050041</v>
      </c>
      <c r="BH124" s="10">
        <f t="shared" si="170"/>
        <v>165.3681742050041</v>
      </c>
      <c r="BI124" s="10">
        <f t="shared" si="170"/>
        <v>165.3681742050041</v>
      </c>
    </row>
    <row r="125" spans="1:61" ht="30">
      <c r="A125" s="8" t="str">
        <f>A119</f>
        <v>Kontenerowe 
(1000t - 21 wagonów)</v>
      </c>
      <c r="B125" s="110" t="s">
        <v>31</v>
      </c>
      <c r="C125" s="13"/>
      <c r="D125" s="13"/>
      <c r="E125" s="13"/>
      <c r="F125" s="13"/>
      <c r="G125" s="13"/>
      <c r="H125" s="13"/>
      <c r="I125" s="13"/>
      <c r="J125" s="13"/>
      <c r="K125" s="13"/>
      <c r="L125" s="13"/>
      <c r="M125" s="13"/>
      <c r="N125" s="13"/>
      <c r="O125" s="13"/>
      <c r="P125" s="13"/>
      <c r="Q125" s="78"/>
      <c r="R125" s="78"/>
      <c r="S125" s="78"/>
      <c r="T125" s="10">
        <f t="shared" ref="T125:BI125" si="171">T$9*(T$93*10^-6)</f>
        <v>11.940361113239231</v>
      </c>
      <c r="U125" s="10">
        <f t="shared" si="171"/>
        <v>12.346333391089363</v>
      </c>
      <c r="V125" s="10">
        <f t="shared" si="171"/>
        <v>15.73339562776734</v>
      </c>
      <c r="W125" s="10">
        <f t="shared" si="171"/>
        <v>21.153469321555729</v>
      </c>
      <c r="X125" s="10">
        <f t="shared" si="171"/>
        <v>27.079038526069418</v>
      </c>
      <c r="Y125" s="10">
        <f t="shared" si="171"/>
        <v>30.593112227925754</v>
      </c>
      <c r="Z125" s="10">
        <f t="shared" si="171"/>
        <v>34.107185929782091</v>
      </c>
      <c r="AA125" s="10">
        <f t="shared" si="171"/>
        <v>37.621259631638431</v>
      </c>
      <c r="AB125" s="10">
        <f t="shared" si="171"/>
        <v>41.135333333494764</v>
      </c>
      <c r="AC125" s="10">
        <f t="shared" si="171"/>
        <v>44.649407035351103</v>
      </c>
      <c r="AD125" s="10">
        <f t="shared" si="171"/>
        <v>48.163480737207436</v>
      </c>
      <c r="AE125" s="10">
        <f t="shared" si="171"/>
        <v>51.677554439063776</v>
      </c>
      <c r="AF125" s="10">
        <f t="shared" si="171"/>
        <v>57.465440536238916</v>
      </c>
      <c r="AG125" s="10">
        <f t="shared" si="171"/>
        <v>63.253326633414069</v>
      </c>
      <c r="AH125" s="10">
        <f t="shared" si="171"/>
        <v>69.041212730589208</v>
      </c>
      <c r="AI125" s="10">
        <f t="shared" si="171"/>
        <v>74.829098827764341</v>
      </c>
      <c r="AJ125" s="10">
        <f t="shared" si="171"/>
        <v>80.616984924939501</v>
      </c>
      <c r="AK125" s="10">
        <f t="shared" si="171"/>
        <v>86.19816080435838</v>
      </c>
      <c r="AL125" s="10">
        <f t="shared" si="171"/>
        <v>91.779336683777274</v>
      </c>
      <c r="AM125" s="10">
        <f t="shared" si="171"/>
        <v>97.360512563196153</v>
      </c>
      <c r="AN125" s="10">
        <f t="shared" si="171"/>
        <v>102.94168844261505</v>
      </c>
      <c r="AO125" s="10">
        <f t="shared" si="171"/>
        <v>108.52286432203393</v>
      </c>
      <c r="AP125" s="10">
        <f t="shared" si="171"/>
        <v>114.1040402014528</v>
      </c>
      <c r="AQ125" s="10">
        <f t="shared" si="171"/>
        <v>119.68521608087171</v>
      </c>
      <c r="AR125" s="10">
        <f t="shared" si="171"/>
        <v>125.2663919602906</v>
      </c>
      <c r="AS125" s="10">
        <f t="shared" si="171"/>
        <v>130.84756783970948</v>
      </c>
      <c r="AT125" s="10">
        <f t="shared" si="171"/>
        <v>136.42874371912836</v>
      </c>
      <c r="AU125" s="10">
        <f t="shared" si="171"/>
        <v>142.21662981630351</v>
      </c>
      <c r="AV125" s="10">
        <f t="shared" si="171"/>
        <v>148.00451591347866</v>
      </c>
      <c r="AW125" s="10">
        <f t="shared" si="171"/>
        <v>153.79240201065383</v>
      </c>
      <c r="AX125" s="10">
        <f t="shared" si="171"/>
        <v>159.58028810782895</v>
      </c>
      <c r="AY125" s="10">
        <f t="shared" si="171"/>
        <v>165.3681742050041</v>
      </c>
      <c r="AZ125" s="10">
        <f t="shared" si="171"/>
        <v>165.3681742050041</v>
      </c>
      <c r="BA125" s="10">
        <f t="shared" si="171"/>
        <v>165.3681742050041</v>
      </c>
      <c r="BB125" s="10">
        <f t="shared" si="171"/>
        <v>165.3681742050041</v>
      </c>
      <c r="BC125" s="10">
        <f t="shared" si="171"/>
        <v>165.3681742050041</v>
      </c>
      <c r="BD125" s="10">
        <f t="shared" si="171"/>
        <v>165.3681742050041</v>
      </c>
      <c r="BE125" s="10">
        <f t="shared" si="171"/>
        <v>165.3681742050041</v>
      </c>
      <c r="BF125" s="10">
        <f t="shared" si="171"/>
        <v>165.3681742050041</v>
      </c>
      <c r="BG125" s="10">
        <f t="shared" si="171"/>
        <v>165.3681742050041</v>
      </c>
      <c r="BH125" s="10">
        <f t="shared" si="171"/>
        <v>165.3681742050041</v>
      </c>
      <c r="BI125" s="10">
        <f t="shared" si="171"/>
        <v>165.3681742050041</v>
      </c>
    </row>
    <row r="126" spans="1:61">
      <c r="A126" s="762" t="s">
        <v>688</v>
      </c>
      <c r="B126" s="762"/>
      <c r="C126" s="762"/>
      <c r="D126" s="762"/>
      <c r="E126" s="762"/>
      <c r="F126" s="762"/>
      <c r="G126" s="762"/>
      <c r="H126" s="762"/>
      <c r="I126" s="762"/>
      <c r="J126" s="762"/>
      <c r="K126" s="762"/>
      <c r="L126" s="762"/>
      <c r="M126" s="762"/>
      <c r="N126" s="762"/>
      <c r="O126" s="762"/>
      <c r="P126" s="762"/>
      <c r="Q126" s="762"/>
      <c r="R126" s="762"/>
      <c r="S126" s="762"/>
      <c r="T126" s="762"/>
      <c r="U126" s="762"/>
      <c r="V126" s="762"/>
    </row>
    <row r="127" spans="1:61" s="668" customFormat="1">
      <c r="A127" s="754"/>
      <c r="B127" s="754"/>
      <c r="C127" s="754"/>
      <c r="D127" s="754"/>
      <c r="E127" s="754"/>
      <c r="F127" s="754"/>
      <c r="G127" s="754"/>
      <c r="H127" s="754"/>
      <c r="I127" s="754"/>
      <c r="J127" s="754"/>
      <c r="K127" s="754"/>
      <c r="L127" s="754"/>
      <c r="M127" s="754"/>
      <c r="N127" s="754"/>
      <c r="O127" s="754"/>
      <c r="P127" s="754"/>
      <c r="Q127" s="754"/>
      <c r="R127" s="754"/>
      <c r="S127" s="754"/>
      <c r="T127" s="754"/>
      <c r="U127" s="754"/>
      <c r="V127" s="754"/>
    </row>
    <row r="128" spans="1:61"/>
    <row r="129" spans="1:16" s="592" customFormat="1"/>
    <row r="130" spans="1:16"/>
    <row r="131" spans="1:16" ht="18">
      <c r="A131" s="113" t="s">
        <v>689</v>
      </c>
      <c r="B131" s="113"/>
    </row>
    <row r="132" spans="1:16" hidden="1" outlineLevel="1"/>
    <row r="133" spans="1:16" hidden="1" outlineLevel="1">
      <c r="A133" s="598" t="s">
        <v>473</v>
      </c>
      <c r="B133" s="176"/>
      <c r="C133" s="176"/>
      <c r="D133" s="176"/>
      <c r="E133" s="176"/>
      <c r="F133" s="176"/>
      <c r="G133" s="176"/>
      <c r="H133" s="176"/>
      <c r="I133" s="176"/>
      <c r="J133" s="176"/>
      <c r="K133" s="176"/>
      <c r="L133" s="176"/>
      <c r="M133" s="176"/>
      <c r="N133" s="176"/>
      <c r="O133" s="176"/>
      <c r="P133" s="176"/>
    </row>
    <row r="134" spans="1:16" ht="15.75" hidden="1" outlineLevel="1" thickBot="1">
      <c r="A134" s="599" t="s">
        <v>474</v>
      </c>
      <c r="B134" s="600" t="s">
        <v>386</v>
      </c>
      <c r="C134" s="600"/>
      <c r="D134" s="600"/>
      <c r="E134" s="600"/>
      <c r="F134" s="600"/>
      <c r="G134" s="600"/>
      <c r="H134" s="600"/>
      <c r="I134" s="600"/>
      <c r="J134" s="600"/>
      <c r="K134" s="600"/>
      <c r="L134" s="600"/>
      <c r="M134" s="600"/>
      <c r="N134" s="600"/>
      <c r="O134" s="600"/>
      <c r="P134" s="600"/>
    </row>
    <row r="135" spans="1:16" hidden="1" outlineLevel="1">
      <c r="A135" s="624" t="s">
        <v>475</v>
      </c>
      <c r="B135" s="827" t="s">
        <v>476</v>
      </c>
      <c r="C135" s="176"/>
      <c r="D135" s="176"/>
      <c r="E135" s="176"/>
      <c r="F135" s="176"/>
      <c r="G135" s="176"/>
      <c r="H135" s="176"/>
      <c r="I135" s="176"/>
      <c r="J135" s="176"/>
      <c r="K135" s="176"/>
      <c r="L135" s="176"/>
      <c r="M135" s="176"/>
      <c r="N135" s="176"/>
      <c r="O135" s="176"/>
      <c r="P135" s="570">
        <v>119</v>
      </c>
    </row>
    <row r="136" spans="1:16" hidden="1" outlineLevel="1">
      <c r="A136" s="624" t="s">
        <v>477</v>
      </c>
      <c r="B136" s="828"/>
      <c r="C136" s="176"/>
      <c r="D136" s="176"/>
      <c r="E136" s="176"/>
      <c r="F136" s="176"/>
      <c r="G136" s="176"/>
      <c r="H136" s="176"/>
      <c r="I136" s="176"/>
      <c r="J136" s="176"/>
      <c r="K136" s="176"/>
      <c r="L136" s="176"/>
      <c r="M136" s="176"/>
      <c r="N136" s="176"/>
      <c r="O136" s="176"/>
      <c r="P136" s="570">
        <v>119</v>
      </c>
    </row>
    <row r="137" spans="1:16" hidden="1" outlineLevel="1">
      <c r="A137" s="624" t="s">
        <v>478</v>
      </c>
      <c r="B137" s="828"/>
      <c r="C137" s="176"/>
      <c r="D137" s="176"/>
      <c r="E137" s="176"/>
      <c r="F137" s="176"/>
      <c r="G137" s="176"/>
      <c r="H137" s="176"/>
      <c r="I137" s="176"/>
      <c r="J137" s="176"/>
      <c r="K137" s="176"/>
      <c r="L137" s="176"/>
      <c r="M137" s="176"/>
      <c r="N137" s="176"/>
      <c r="O137" s="176"/>
      <c r="P137" s="570">
        <v>132</v>
      </c>
    </row>
    <row r="138" spans="1:16" hidden="1" outlineLevel="1">
      <c r="A138" s="602" t="s">
        <v>271</v>
      </c>
      <c r="B138" s="829"/>
      <c r="C138" s="603"/>
      <c r="D138" s="603"/>
      <c r="E138" s="603"/>
      <c r="F138" s="603"/>
      <c r="G138" s="603"/>
      <c r="H138" s="603"/>
      <c r="I138" s="603"/>
      <c r="J138" s="603"/>
      <c r="K138" s="603"/>
      <c r="L138" s="603"/>
      <c r="M138" s="603"/>
      <c r="N138" s="603"/>
      <c r="O138" s="603"/>
      <c r="P138" s="632">
        <v>61</v>
      </c>
    </row>
    <row r="139" spans="1:16" hidden="1" outlineLevel="1">
      <c r="A139" s="605" t="s">
        <v>691</v>
      </c>
      <c r="B139" s="176"/>
      <c r="C139" s="176"/>
      <c r="D139" s="176"/>
      <c r="E139" s="176"/>
      <c r="F139" s="176"/>
      <c r="G139" s="176"/>
      <c r="H139" s="176"/>
      <c r="I139" s="176"/>
      <c r="J139" s="176"/>
      <c r="K139" s="176"/>
      <c r="L139" s="176"/>
      <c r="M139" s="176"/>
      <c r="N139" s="176"/>
      <c r="O139" s="176"/>
      <c r="P139" s="176"/>
    </row>
    <row r="140" spans="1:16" hidden="1" outlineLevel="1">
      <c r="A140" s="176"/>
      <c r="B140" s="176"/>
      <c r="C140" s="176"/>
      <c r="D140" s="176"/>
      <c r="E140" s="176"/>
      <c r="F140" s="176"/>
      <c r="G140" s="176"/>
      <c r="H140" s="176"/>
      <c r="I140" s="176"/>
      <c r="J140" s="176"/>
      <c r="K140" s="176"/>
      <c r="L140" s="176"/>
      <c r="M140" s="176"/>
      <c r="N140" s="176"/>
      <c r="O140" s="176"/>
      <c r="P140" s="176"/>
    </row>
    <row r="141" spans="1:16" hidden="1" outlineLevel="1">
      <c r="A141" s="176" t="s">
        <v>479</v>
      </c>
      <c r="B141" s="633">
        <f>B142/(B143*B144)</f>
        <v>2.7777777777777778E-4</v>
      </c>
      <c r="C141" s="176"/>
      <c r="D141" s="176"/>
      <c r="E141" s="176"/>
      <c r="F141" s="176"/>
      <c r="G141" s="176"/>
      <c r="H141" s="176"/>
      <c r="I141" s="176"/>
      <c r="J141" s="176"/>
      <c r="K141" s="176"/>
      <c r="L141" s="176"/>
      <c r="M141" s="176"/>
      <c r="N141" s="176"/>
      <c r="O141" s="176"/>
      <c r="P141" s="176"/>
    </row>
    <row r="142" spans="1:16" hidden="1" outlineLevel="1">
      <c r="A142" s="176"/>
      <c r="B142" s="570">
        <f>10^3</f>
        <v>1000</v>
      </c>
      <c r="C142" s="176"/>
      <c r="D142" s="176"/>
      <c r="E142" s="176"/>
      <c r="F142" s="176"/>
      <c r="G142" s="176"/>
      <c r="H142" s="176"/>
      <c r="I142" s="176"/>
      <c r="J142" s="176"/>
      <c r="K142" s="176"/>
      <c r="L142" s="176"/>
      <c r="M142" s="176"/>
      <c r="N142" s="176"/>
      <c r="O142" s="176"/>
      <c r="P142" s="176" t="s">
        <v>480</v>
      </c>
    </row>
    <row r="143" spans="1:16" hidden="1" outlineLevel="1">
      <c r="A143" s="176"/>
      <c r="B143" s="570">
        <f>10^3</f>
        <v>1000</v>
      </c>
      <c r="C143" s="176"/>
      <c r="D143" s="176"/>
      <c r="E143" s="176"/>
      <c r="F143" s="176"/>
      <c r="G143" s="176"/>
      <c r="H143" s="176"/>
      <c r="I143" s="176"/>
      <c r="J143" s="176"/>
      <c r="K143" s="176"/>
      <c r="L143" s="176"/>
      <c r="M143" s="176"/>
      <c r="N143" s="176"/>
      <c r="O143" s="176"/>
      <c r="P143" s="176" t="s">
        <v>46</v>
      </c>
    </row>
    <row r="144" spans="1:16" hidden="1" outlineLevel="1">
      <c r="A144" s="176"/>
      <c r="B144" s="570">
        <f>(60*60)</f>
        <v>3600</v>
      </c>
      <c r="C144" s="176"/>
      <c r="D144" s="176"/>
      <c r="E144" s="176"/>
      <c r="F144" s="176"/>
      <c r="G144" s="176"/>
      <c r="H144" s="176"/>
      <c r="I144" s="176"/>
      <c r="J144" s="176"/>
      <c r="K144" s="176"/>
      <c r="L144" s="176"/>
      <c r="M144" s="176"/>
      <c r="N144" s="176"/>
      <c r="O144" s="176"/>
      <c r="P144" s="176" t="s">
        <v>47</v>
      </c>
    </row>
    <row r="145" spans="1:61" hidden="1" outlineLevel="1">
      <c r="A145" s="176"/>
      <c r="B145" s="176"/>
      <c r="C145" s="176"/>
      <c r="D145" s="176"/>
      <c r="E145" s="176"/>
      <c r="F145" s="176"/>
      <c r="G145" s="176"/>
      <c r="H145" s="176"/>
      <c r="I145" s="176"/>
      <c r="J145" s="176"/>
      <c r="K145" s="176"/>
      <c r="L145" s="176"/>
      <c r="M145" s="176"/>
      <c r="N145" s="176"/>
      <c r="O145" s="176"/>
      <c r="P145" s="176"/>
    </row>
    <row r="146" spans="1:61" s="592" customFormat="1" hidden="1" outlineLevel="1">
      <c r="A146" s="598" t="s">
        <v>482</v>
      </c>
      <c r="B146" s="176"/>
      <c r="C146" s="176"/>
      <c r="D146" s="176"/>
      <c r="E146" s="176"/>
      <c r="F146" s="176"/>
      <c r="G146" s="176"/>
      <c r="H146" s="176"/>
      <c r="I146" s="176"/>
      <c r="J146" s="176"/>
      <c r="K146" s="176"/>
      <c r="L146" s="176"/>
      <c r="M146" s="176"/>
      <c r="N146" s="176"/>
      <c r="O146" s="176"/>
      <c r="P146" s="176"/>
    </row>
    <row r="147" spans="1:61" s="592" customFormat="1" ht="15.75" hidden="1" outlineLevel="1" thickBot="1">
      <c r="A147" s="599" t="s">
        <v>483</v>
      </c>
      <c r="B147" s="600" t="s">
        <v>386</v>
      </c>
      <c r="C147" s="600"/>
      <c r="D147" s="600"/>
      <c r="E147" s="600"/>
      <c r="F147" s="600"/>
      <c r="G147" s="600"/>
      <c r="H147" s="600"/>
      <c r="I147" s="600"/>
      <c r="J147" s="600"/>
      <c r="K147" s="600"/>
      <c r="L147" s="600"/>
      <c r="M147" s="600"/>
      <c r="N147" s="600"/>
      <c r="O147" s="600"/>
      <c r="P147" s="600"/>
    </row>
    <row r="148" spans="1:61" s="592" customFormat="1" ht="18" hidden="1" customHeight="1" outlineLevel="1">
      <c r="A148" s="624" t="s">
        <v>475</v>
      </c>
      <c r="B148" s="827" t="s">
        <v>692</v>
      </c>
      <c r="C148" s="176"/>
      <c r="D148" s="176"/>
      <c r="E148" s="176"/>
      <c r="F148" s="176"/>
      <c r="G148" s="176"/>
      <c r="H148" s="176"/>
      <c r="I148" s="176"/>
      <c r="J148" s="176"/>
      <c r="K148" s="176"/>
      <c r="L148" s="176"/>
      <c r="M148" s="176"/>
      <c r="N148" s="176"/>
      <c r="O148" s="176"/>
      <c r="P148" s="634">
        <v>91.456000000000003</v>
      </c>
    </row>
    <row r="149" spans="1:61" s="592" customFormat="1" hidden="1" outlineLevel="1">
      <c r="A149" s="624" t="s">
        <v>477</v>
      </c>
      <c r="B149" s="828"/>
      <c r="C149" s="176"/>
      <c r="D149" s="176"/>
      <c r="E149" s="176"/>
      <c r="F149" s="176"/>
      <c r="G149" s="176"/>
      <c r="H149" s="176"/>
      <c r="I149" s="176"/>
      <c r="J149" s="176"/>
      <c r="K149" s="176"/>
      <c r="L149" s="176"/>
      <c r="M149" s="176"/>
      <c r="N149" s="176"/>
      <c r="O149" s="176"/>
      <c r="P149" s="634">
        <v>91.456000000000003</v>
      </c>
    </row>
    <row r="150" spans="1:61" s="592" customFormat="1" hidden="1" outlineLevel="1">
      <c r="A150" s="624" t="s">
        <v>478</v>
      </c>
      <c r="B150" s="828"/>
      <c r="C150" s="176"/>
      <c r="D150" s="176"/>
      <c r="E150" s="176"/>
      <c r="F150" s="176"/>
      <c r="G150" s="176"/>
      <c r="H150" s="176"/>
      <c r="I150" s="176"/>
      <c r="J150" s="176"/>
      <c r="K150" s="176"/>
      <c r="L150" s="176"/>
      <c r="M150" s="176"/>
      <c r="N150" s="176"/>
      <c r="O150" s="176"/>
      <c r="P150" s="634">
        <v>90.917000000000002</v>
      </c>
    </row>
    <row r="151" spans="1:61" s="592" customFormat="1" hidden="1" outlineLevel="1">
      <c r="A151" s="602" t="s">
        <v>271</v>
      </c>
      <c r="B151" s="829"/>
      <c r="C151" s="603"/>
      <c r="D151" s="603"/>
      <c r="E151" s="603"/>
      <c r="F151" s="603"/>
      <c r="G151" s="603"/>
      <c r="H151" s="603"/>
      <c r="I151" s="603"/>
      <c r="J151" s="603"/>
      <c r="K151" s="603"/>
      <c r="L151" s="603"/>
      <c r="M151" s="603"/>
      <c r="N151" s="603"/>
      <c r="O151" s="603"/>
      <c r="P151" s="635">
        <v>31.4436</v>
      </c>
    </row>
    <row r="152" spans="1:61" s="592" customFormat="1" hidden="1" outlineLevel="1">
      <c r="A152" s="605" t="s">
        <v>693</v>
      </c>
      <c r="B152" s="176"/>
      <c r="C152" s="176"/>
      <c r="D152" s="176"/>
      <c r="E152" s="176"/>
      <c r="F152" s="176"/>
      <c r="G152" s="176"/>
      <c r="H152" s="176"/>
      <c r="I152" s="176"/>
      <c r="J152" s="176"/>
      <c r="K152" s="176"/>
      <c r="L152" s="176"/>
      <c r="M152" s="176"/>
      <c r="N152" s="176"/>
      <c r="O152" s="176"/>
      <c r="P152" s="176"/>
    </row>
    <row r="153" spans="1:61" hidden="1" outlineLevel="1"/>
    <row r="154" spans="1:61" collapsed="1"/>
    <row r="155" spans="1:61" ht="18">
      <c r="A155" s="1" t="s">
        <v>690</v>
      </c>
    </row>
    <row r="156" spans="1:61" s="592" customFormat="1" ht="30" customHeight="1">
      <c r="A156" s="823" t="s">
        <v>474</v>
      </c>
      <c r="B156" s="626"/>
      <c r="C156" s="626"/>
      <c r="D156" s="626"/>
      <c r="E156" s="626"/>
      <c r="F156" s="626"/>
      <c r="G156" s="626"/>
      <c r="H156" s="626"/>
      <c r="I156" s="626"/>
      <c r="J156" s="626"/>
      <c r="K156" s="626"/>
      <c r="L156" s="626"/>
      <c r="M156" s="626"/>
      <c r="N156" s="626"/>
      <c r="O156" s="626"/>
      <c r="P156" s="823" t="s">
        <v>481</v>
      </c>
      <c r="Q156" s="626"/>
      <c r="R156" s="626"/>
      <c r="S156" s="626" t="s">
        <v>694</v>
      </c>
      <c r="T156" s="626"/>
      <c r="U156" s="626"/>
      <c r="V156" s="626"/>
      <c r="W156" s="626"/>
      <c r="X156" s="626"/>
      <c r="Y156" s="626"/>
      <c r="Z156" s="626"/>
      <c r="AA156" s="626"/>
      <c r="AB156" s="626"/>
      <c r="AC156" s="626"/>
      <c r="AD156" s="626"/>
      <c r="AE156" s="626"/>
      <c r="AF156" s="626"/>
      <c r="AG156" s="626"/>
      <c r="AH156" s="626"/>
      <c r="AI156" s="626"/>
      <c r="AJ156" s="626"/>
      <c r="AK156" s="626"/>
      <c r="AL156" s="626"/>
      <c r="AM156" s="626"/>
      <c r="AN156" s="626"/>
      <c r="AO156" s="626"/>
      <c r="AP156" s="626"/>
      <c r="AQ156" s="626"/>
      <c r="AR156" s="626"/>
      <c r="AS156" s="626"/>
      <c r="AT156" s="626"/>
      <c r="AU156" s="626"/>
      <c r="AV156" s="626"/>
      <c r="AW156" s="626"/>
      <c r="AX156" s="626"/>
      <c r="AY156" s="626"/>
      <c r="AZ156" s="626"/>
      <c r="BA156" s="626"/>
      <c r="BB156" s="626"/>
      <c r="BC156" s="626"/>
      <c r="BD156" s="626"/>
      <c r="BE156" s="626"/>
      <c r="BF156" s="626"/>
      <c r="BG156" s="626"/>
      <c r="BH156" s="626"/>
      <c r="BI156" s="626"/>
    </row>
    <row r="157" spans="1:61" ht="30" customHeight="1" thickBot="1">
      <c r="A157" s="824"/>
      <c r="B157" s="625"/>
      <c r="C157" s="625"/>
      <c r="D157" s="625"/>
      <c r="E157" s="625"/>
      <c r="F157" s="625"/>
      <c r="G157" s="625"/>
      <c r="H157" s="625"/>
      <c r="I157" s="625"/>
      <c r="J157" s="625"/>
      <c r="K157" s="625"/>
      <c r="L157" s="625"/>
      <c r="M157" s="625"/>
      <c r="N157" s="625"/>
      <c r="O157" s="625"/>
      <c r="P157" s="824"/>
      <c r="Q157" s="625"/>
      <c r="R157" s="625"/>
      <c r="S157" s="625">
        <v>2019</v>
      </c>
      <c r="T157" s="625">
        <f>S157+1</f>
        <v>2020</v>
      </c>
      <c r="U157" s="625">
        <f t="shared" ref="U157" si="172">T157+1</f>
        <v>2021</v>
      </c>
      <c r="V157" s="625">
        <f t="shared" ref="V157" si="173">U157+1</f>
        <v>2022</v>
      </c>
      <c r="W157" s="625">
        <f t="shared" ref="W157" si="174">V157+1</f>
        <v>2023</v>
      </c>
      <c r="X157" s="625">
        <f t="shared" ref="X157" si="175">W157+1</f>
        <v>2024</v>
      </c>
      <c r="Y157" s="625">
        <f t="shared" ref="Y157" si="176">X157+1</f>
        <v>2025</v>
      </c>
      <c r="Z157" s="625">
        <f t="shared" ref="Z157" si="177">Y157+1</f>
        <v>2026</v>
      </c>
      <c r="AA157" s="625">
        <f t="shared" ref="AA157" si="178">Z157+1</f>
        <v>2027</v>
      </c>
      <c r="AB157" s="625">
        <f t="shared" ref="AB157" si="179">AA157+1</f>
        <v>2028</v>
      </c>
      <c r="AC157" s="625">
        <f t="shared" ref="AC157" si="180">AB157+1</f>
        <v>2029</v>
      </c>
      <c r="AD157" s="625">
        <f t="shared" ref="AD157" si="181">AC157+1</f>
        <v>2030</v>
      </c>
      <c r="AE157" s="625">
        <f t="shared" ref="AE157" si="182">AD157+1</f>
        <v>2031</v>
      </c>
      <c r="AF157" s="625">
        <f t="shared" ref="AF157" si="183">AE157+1</f>
        <v>2032</v>
      </c>
      <c r="AG157" s="625">
        <f t="shared" ref="AG157" si="184">AF157+1</f>
        <v>2033</v>
      </c>
      <c r="AH157" s="625">
        <f t="shared" ref="AH157" si="185">AG157+1</f>
        <v>2034</v>
      </c>
      <c r="AI157" s="625">
        <f t="shared" ref="AI157" si="186">AH157+1</f>
        <v>2035</v>
      </c>
      <c r="AJ157" s="625">
        <f t="shared" ref="AJ157" si="187">AI157+1</f>
        <v>2036</v>
      </c>
      <c r="AK157" s="625">
        <f t="shared" ref="AK157" si="188">AJ157+1</f>
        <v>2037</v>
      </c>
      <c r="AL157" s="625">
        <f t="shared" ref="AL157" si="189">AK157+1</f>
        <v>2038</v>
      </c>
      <c r="AM157" s="625">
        <f t="shared" ref="AM157" si="190">AL157+1</f>
        <v>2039</v>
      </c>
      <c r="AN157" s="625">
        <f t="shared" ref="AN157" si="191">AM157+1</f>
        <v>2040</v>
      </c>
      <c r="AO157" s="625">
        <f t="shared" ref="AO157" si="192">AN157+1</f>
        <v>2041</v>
      </c>
      <c r="AP157" s="625">
        <f t="shared" ref="AP157" si="193">AO157+1</f>
        <v>2042</v>
      </c>
      <c r="AQ157" s="625">
        <f t="shared" ref="AQ157" si="194">AP157+1</f>
        <v>2043</v>
      </c>
      <c r="AR157" s="625">
        <f t="shared" ref="AR157" si="195">AQ157+1</f>
        <v>2044</v>
      </c>
      <c r="AS157" s="625">
        <f t="shared" ref="AS157" si="196">AR157+1</f>
        <v>2045</v>
      </c>
      <c r="AT157" s="625">
        <f t="shared" ref="AT157" si="197">AS157+1</f>
        <v>2046</v>
      </c>
      <c r="AU157" s="625">
        <f t="shared" ref="AU157" si="198">AT157+1</f>
        <v>2047</v>
      </c>
      <c r="AV157" s="625">
        <f t="shared" ref="AV157" si="199">AU157+1</f>
        <v>2048</v>
      </c>
      <c r="AW157" s="625">
        <f t="shared" ref="AW157" si="200">AV157+1</f>
        <v>2049</v>
      </c>
      <c r="AX157" s="625">
        <f t="shared" ref="AX157" si="201">AW157+1</f>
        <v>2050</v>
      </c>
      <c r="AY157" s="625">
        <f t="shared" ref="AY157" si="202">AX157+1</f>
        <v>2051</v>
      </c>
      <c r="AZ157" s="625">
        <f t="shared" ref="AZ157" si="203">AY157+1</f>
        <v>2052</v>
      </c>
      <c r="BA157" s="625">
        <f t="shared" ref="BA157" si="204">AZ157+1</f>
        <v>2053</v>
      </c>
      <c r="BB157" s="625">
        <f t="shared" ref="BB157" si="205">BA157+1</f>
        <v>2054</v>
      </c>
      <c r="BC157" s="625">
        <f t="shared" ref="BC157" si="206">BB157+1</f>
        <v>2055</v>
      </c>
      <c r="BD157" s="625">
        <f t="shared" ref="BD157" si="207">BC157+1</f>
        <v>2056</v>
      </c>
      <c r="BE157" s="625">
        <f t="shared" ref="BE157" si="208">BD157+1</f>
        <v>2057</v>
      </c>
      <c r="BF157" s="625">
        <f t="shared" ref="BF157" si="209">BE157+1</f>
        <v>2058</v>
      </c>
      <c r="BG157" s="625">
        <f t="shared" ref="BG157" si="210">BF157+1</f>
        <v>2059</v>
      </c>
      <c r="BH157" s="625">
        <f t="shared" ref="BH157" si="211">BG157+1</f>
        <v>2060</v>
      </c>
      <c r="BI157" s="625">
        <f t="shared" ref="BI157" si="212">BH157+1</f>
        <v>2061</v>
      </c>
    </row>
    <row r="158" spans="1:61">
      <c r="A158" s="176" t="s">
        <v>475</v>
      </c>
      <c r="B158" s="176"/>
      <c r="C158" s="176"/>
      <c r="D158" s="176"/>
      <c r="E158" s="176"/>
      <c r="F158" s="176"/>
      <c r="G158" s="176"/>
      <c r="H158" s="176"/>
      <c r="I158" s="176"/>
      <c r="J158" s="176"/>
      <c r="K158" s="176"/>
      <c r="L158" s="176"/>
      <c r="M158" s="176"/>
      <c r="N158" s="176"/>
      <c r="O158" s="176"/>
      <c r="P158" s="636">
        <f>P135*$B$141</f>
        <v>3.3055555555555553E-2</v>
      </c>
      <c r="Q158" s="595"/>
      <c r="R158" s="595"/>
      <c r="S158" s="595">
        <f>$P158*S$35</f>
        <v>23.766944444444444</v>
      </c>
      <c r="T158" s="595">
        <f t="shared" ref="T158:BI161" si="213">$P158*T$35</f>
        <v>22.294644896005796</v>
      </c>
      <c r="U158" s="595">
        <f t="shared" si="213"/>
        <v>22.103620203021375</v>
      </c>
      <c r="V158" s="595">
        <f t="shared" si="213"/>
        <v>21.912595510036958</v>
      </c>
      <c r="W158" s="595">
        <f t="shared" si="213"/>
        <v>21.721570817052537</v>
      </c>
      <c r="X158" s="595">
        <f t="shared" si="213"/>
        <v>21.530546124068117</v>
      </c>
      <c r="Y158" s="595">
        <f t="shared" si="213"/>
        <v>21.339521431083693</v>
      </c>
      <c r="Z158" s="595">
        <f t="shared" si="213"/>
        <v>20.899761417478796</v>
      </c>
      <c r="AA158" s="595">
        <f t="shared" si="213"/>
        <v>20.460001403873896</v>
      </c>
      <c r="AB158" s="595">
        <f t="shared" si="213"/>
        <v>20.020241390269</v>
      </c>
      <c r="AC158" s="595">
        <f t="shared" si="213"/>
        <v>19.580481376664103</v>
      </c>
      <c r="AD158" s="595">
        <f t="shared" si="213"/>
        <v>19.1407213630592</v>
      </c>
      <c r="AE158" s="595">
        <f t="shared" si="213"/>
        <v>18.263755854581969</v>
      </c>
      <c r="AF158" s="595">
        <f t="shared" si="213"/>
        <v>17.386790346104739</v>
      </c>
      <c r="AG158" s="595">
        <f t="shared" si="213"/>
        <v>16.509824837627505</v>
      </c>
      <c r="AH158" s="595">
        <f t="shared" si="213"/>
        <v>15.632859329150275</v>
      </c>
      <c r="AI158" s="595">
        <f t="shared" si="213"/>
        <v>14.755893820673045</v>
      </c>
      <c r="AJ158" s="595">
        <f t="shared" si="213"/>
        <v>14.272709932696733</v>
      </c>
      <c r="AK158" s="595">
        <f t="shared" si="213"/>
        <v>13.789526044720422</v>
      </c>
      <c r="AL158" s="595">
        <f t="shared" si="213"/>
        <v>13.30634215674411</v>
      </c>
      <c r="AM158" s="595">
        <f t="shared" si="213"/>
        <v>12.8231582687678</v>
      </c>
      <c r="AN158" s="595">
        <f t="shared" si="213"/>
        <v>12.339974380791491</v>
      </c>
      <c r="AO158" s="595">
        <f t="shared" si="213"/>
        <v>12.339974380791491</v>
      </c>
      <c r="AP158" s="595">
        <f t="shared" si="213"/>
        <v>12.339974380791491</v>
      </c>
      <c r="AQ158" s="595">
        <f t="shared" si="213"/>
        <v>12.339974380791491</v>
      </c>
      <c r="AR158" s="595">
        <f t="shared" si="213"/>
        <v>12.339974380791491</v>
      </c>
      <c r="AS158" s="595">
        <f t="shared" si="213"/>
        <v>12.339974380791491</v>
      </c>
      <c r="AT158" s="595">
        <f t="shared" si="213"/>
        <v>12.339974380791491</v>
      </c>
      <c r="AU158" s="595">
        <f t="shared" si="213"/>
        <v>12.339974380791491</v>
      </c>
      <c r="AV158" s="595">
        <f t="shared" si="213"/>
        <v>12.339974380791491</v>
      </c>
      <c r="AW158" s="595">
        <f t="shared" si="213"/>
        <v>12.339974380791491</v>
      </c>
      <c r="AX158" s="595">
        <f t="shared" si="213"/>
        <v>12.339974380791491</v>
      </c>
      <c r="AY158" s="595">
        <f t="shared" si="213"/>
        <v>12.339974380791491</v>
      </c>
      <c r="AZ158" s="595">
        <f t="shared" si="213"/>
        <v>12.339974380791491</v>
      </c>
      <c r="BA158" s="595">
        <f t="shared" si="213"/>
        <v>12.339974380791491</v>
      </c>
      <c r="BB158" s="595">
        <f t="shared" si="213"/>
        <v>12.339974380791491</v>
      </c>
      <c r="BC158" s="595">
        <f t="shared" si="213"/>
        <v>12.339974380791491</v>
      </c>
      <c r="BD158" s="595">
        <f t="shared" si="213"/>
        <v>12.339974380791491</v>
      </c>
      <c r="BE158" s="595">
        <f t="shared" si="213"/>
        <v>12.339974380791491</v>
      </c>
      <c r="BF158" s="595">
        <f t="shared" si="213"/>
        <v>12.339974380791491</v>
      </c>
      <c r="BG158" s="595">
        <f t="shared" si="213"/>
        <v>12.339974380791491</v>
      </c>
      <c r="BH158" s="595">
        <f t="shared" si="213"/>
        <v>12.339974380791491</v>
      </c>
      <c r="BI158" s="595">
        <f t="shared" si="213"/>
        <v>12.339974380791491</v>
      </c>
    </row>
    <row r="159" spans="1:61">
      <c r="A159" s="176" t="s">
        <v>477</v>
      </c>
      <c r="B159" s="176"/>
      <c r="C159" s="176"/>
      <c r="D159" s="176"/>
      <c r="E159" s="176"/>
      <c r="F159" s="176"/>
      <c r="G159" s="176"/>
      <c r="H159" s="176"/>
      <c r="I159" s="176"/>
      <c r="J159" s="176"/>
      <c r="K159" s="176"/>
      <c r="L159" s="176"/>
      <c r="M159" s="176"/>
      <c r="N159" s="176"/>
      <c r="O159" s="176"/>
      <c r="P159" s="636">
        <f>P136*$B$141</f>
        <v>3.3055555555555553E-2</v>
      </c>
      <c r="Q159" s="595"/>
      <c r="R159" s="595"/>
      <c r="S159" s="595">
        <f t="shared" ref="S159:AH161" si="214">$P159*S$35</f>
        <v>23.766944444444444</v>
      </c>
      <c r="T159" s="595">
        <f t="shared" si="214"/>
        <v>22.294644896005796</v>
      </c>
      <c r="U159" s="595">
        <f t="shared" si="214"/>
        <v>22.103620203021375</v>
      </c>
      <c r="V159" s="595">
        <f t="shared" si="214"/>
        <v>21.912595510036958</v>
      </c>
      <c r="W159" s="595">
        <f t="shared" si="214"/>
        <v>21.721570817052537</v>
      </c>
      <c r="X159" s="595">
        <f t="shared" si="214"/>
        <v>21.530546124068117</v>
      </c>
      <c r="Y159" s="595">
        <f t="shared" si="214"/>
        <v>21.339521431083693</v>
      </c>
      <c r="Z159" s="595">
        <f t="shared" si="214"/>
        <v>20.899761417478796</v>
      </c>
      <c r="AA159" s="595">
        <f t="shared" si="214"/>
        <v>20.460001403873896</v>
      </c>
      <c r="AB159" s="595">
        <f t="shared" si="214"/>
        <v>20.020241390269</v>
      </c>
      <c r="AC159" s="595">
        <f t="shared" si="214"/>
        <v>19.580481376664103</v>
      </c>
      <c r="AD159" s="595">
        <f t="shared" si="214"/>
        <v>19.1407213630592</v>
      </c>
      <c r="AE159" s="595">
        <f t="shared" si="214"/>
        <v>18.263755854581969</v>
      </c>
      <c r="AF159" s="595">
        <f t="shared" si="214"/>
        <v>17.386790346104739</v>
      </c>
      <c r="AG159" s="595">
        <f t="shared" si="214"/>
        <v>16.509824837627505</v>
      </c>
      <c r="AH159" s="595">
        <f t="shared" si="214"/>
        <v>15.632859329150275</v>
      </c>
      <c r="AI159" s="595">
        <f t="shared" si="213"/>
        <v>14.755893820673045</v>
      </c>
      <c r="AJ159" s="595">
        <f t="shared" si="213"/>
        <v>14.272709932696733</v>
      </c>
      <c r="AK159" s="595">
        <f t="shared" si="213"/>
        <v>13.789526044720422</v>
      </c>
      <c r="AL159" s="595">
        <f t="shared" si="213"/>
        <v>13.30634215674411</v>
      </c>
      <c r="AM159" s="595">
        <f t="shared" si="213"/>
        <v>12.8231582687678</v>
      </c>
      <c r="AN159" s="595">
        <f t="shared" si="213"/>
        <v>12.339974380791491</v>
      </c>
      <c r="AO159" s="595">
        <f t="shared" si="213"/>
        <v>12.339974380791491</v>
      </c>
      <c r="AP159" s="595">
        <f t="shared" si="213"/>
        <v>12.339974380791491</v>
      </c>
      <c r="AQ159" s="595">
        <f t="shared" si="213"/>
        <v>12.339974380791491</v>
      </c>
      <c r="AR159" s="595">
        <f t="shared" si="213"/>
        <v>12.339974380791491</v>
      </c>
      <c r="AS159" s="595">
        <f t="shared" si="213"/>
        <v>12.339974380791491</v>
      </c>
      <c r="AT159" s="595">
        <f t="shared" si="213"/>
        <v>12.339974380791491</v>
      </c>
      <c r="AU159" s="595">
        <f t="shared" si="213"/>
        <v>12.339974380791491</v>
      </c>
      <c r="AV159" s="595">
        <f t="shared" si="213"/>
        <v>12.339974380791491</v>
      </c>
      <c r="AW159" s="595">
        <f t="shared" si="213"/>
        <v>12.339974380791491</v>
      </c>
      <c r="AX159" s="595">
        <f t="shared" si="213"/>
        <v>12.339974380791491</v>
      </c>
      <c r="AY159" s="595">
        <f t="shared" si="213"/>
        <v>12.339974380791491</v>
      </c>
      <c r="AZ159" s="595">
        <f t="shared" si="213"/>
        <v>12.339974380791491</v>
      </c>
      <c r="BA159" s="595">
        <f t="shared" si="213"/>
        <v>12.339974380791491</v>
      </c>
      <c r="BB159" s="595">
        <f t="shared" si="213"/>
        <v>12.339974380791491</v>
      </c>
      <c r="BC159" s="595">
        <f t="shared" si="213"/>
        <v>12.339974380791491</v>
      </c>
      <c r="BD159" s="595">
        <f t="shared" si="213"/>
        <v>12.339974380791491</v>
      </c>
      <c r="BE159" s="595">
        <f t="shared" si="213"/>
        <v>12.339974380791491</v>
      </c>
      <c r="BF159" s="595">
        <f t="shared" si="213"/>
        <v>12.339974380791491</v>
      </c>
      <c r="BG159" s="595">
        <f t="shared" si="213"/>
        <v>12.339974380791491</v>
      </c>
      <c r="BH159" s="595">
        <f t="shared" si="213"/>
        <v>12.339974380791491</v>
      </c>
      <c r="BI159" s="595">
        <f t="shared" si="213"/>
        <v>12.339974380791491</v>
      </c>
    </row>
    <row r="160" spans="1:61">
      <c r="A160" s="176" t="s">
        <v>478</v>
      </c>
      <c r="B160" s="176"/>
      <c r="C160" s="176"/>
      <c r="D160" s="176"/>
      <c r="E160" s="176"/>
      <c r="F160" s="176"/>
      <c r="G160" s="176"/>
      <c r="H160" s="176"/>
      <c r="I160" s="176"/>
      <c r="J160" s="176"/>
      <c r="K160" s="176"/>
      <c r="L160" s="176"/>
      <c r="M160" s="176"/>
      <c r="N160" s="176"/>
      <c r="O160" s="176"/>
      <c r="P160" s="636">
        <f>P137*$B$141</f>
        <v>3.6666666666666667E-2</v>
      </c>
      <c r="Q160" s="595"/>
      <c r="R160" s="595"/>
      <c r="S160" s="595">
        <f t="shared" si="214"/>
        <v>26.363333333333333</v>
      </c>
      <c r="T160" s="595">
        <f t="shared" si="213"/>
        <v>24.730194338426596</v>
      </c>
      <c r="U160" s="595">
        <f t="shared" si="213"/>
        <v>24.518301401670772</v>
      </c>
      <c r="V160" s="595">
        <f t="shared" si="213"/>
        <v>24.306408464914945</v>
      </c>
      <c r="W160" s="595">
        <f t="shared" si="213"/>
        <v>24.094515528159118</v>
      </c>
      <c r="X160" s="595">
        <f t="shared" si="213"/>
        <v>23.882622591403294</v>
      </c>
      <c r="Y160" s="595">
        <f t="shared" si="213"/>
        <v>23.670729654647459</v>
      </c>
      <c r="Z160" s="595">
        <f t="shared" si="213"/>
        <v>23.182928631152951</v>
      </c>
      <c r="AA160" s="595">
        <f t="shared" si="213"/>
        <v>22.695127607658442</v>
      </c>
      <c r="AB160" s="595">
        <f t="shared" si="213"/>
        <v>22.207326584163933</v>
      </c>
      <c r="AC160" s="595">
        <f t="shared" si="213"/>
        <v>21.719525560669425</v>
      </c>
      <c r="AD160" s="595">
        <f t="shared" si="213"/>
        <v>21.231724537174912</v>
      </c>
      <c r="AE160" s="595">
        <f t="shared" si="213"/>
        <v>20.258956073990085</v>
      </c>
      <c r="AF160" s="595">
        <f t="shared" si="213"/>
        <v>19.286187610805257</v>
      </c>
      <c r="AG160" s="595">
        <f t="shared" si="213"/>
        <v>18.313419147620429</v>
      </c>
      <c r="AH160" s="595">
        <f t="shared" si="213"/>
        <v>17.340650684435598</v>
      </c>
      <c r="AI160" s="595">
        <f t="shared" si="213"/>
        <v>16.367882221250774</v>
      </c>
      <c r="AJ160" s="595">
        <f t="shared" si="213"/>
        <v>15.831913538789655</v>
      </c>
      <c r="AK160" s="595">
        <f t="shared" si="213"/>
        <v>15.295944856328536</v>
      </c>
      <c r="AL160" s="595">
        <f t="shared" si="213"/>
        <v>14.759976173867418</v>
      </c>
      <c r="AM160" s="595">
        <f t="shared" si="213"/>
        <v>14.224007491406299</v>
      </c>
      <c r="AN160" s="595">
        <f t="shared" si="213"/>
        <v>13.688038808945183</v>
      </c>
      <c r="AO160" s="595">
        <f t="shared" si="213"/>
        <v>13.688038808945183</v>
      </c>
      <c r="AP160" s="595">
        <f t="shared" si="213"/>
        <v>13.688038808945183</v>
      </c>
      <c r="AQ160" s="595">
        <f t="shared" si="213"/>
        <v>13.688038808945183</v>
      </c>
      <c r="AR160" s="595">
        <f t="shared" si="213"/>
        <v>13.688038808945183</v>
      </c>
      <c r="AS160" s="595">
        <f t="shared" si="213"/>
        <v>13.688038808945183</v>
      </c>
      <c r="AT160" s="595">
        <f t="shared" si="213"/>
        <v>13.688038808945183</v>
      </c>
      <c r="AU160" s="595">
        <f t="shared" si="213"/>
        <v>13.688038808945183</v>
      </c>
      <c r="AV160" s="595">
        <f t="shared" si="213"/>
        <v>13.688038808945183</v>
      </c>
      <c r="AW160" s="595">
        <f t="shared" si="213"/>
        <v>13.688038808945183</v>
      </c>
      <c r="AX160" s="595">
        <f t="shared" si="213"/>
        <v>13.688038808945183</v>
      </c>
      <c r="AY160" s="595">
        <f t="shared" si="213"/>
        <v>13.688038808945183</v>
      </c>
      <c r="AZ160" s="595">
        <f t="shared" si="213"/>
        <v>13.688038808945183</v>
      </c>
      <c r="BA160" s="595">
        <f t="shared" si="213"/>
        <v>13.688038808945183</v>
      </c>
      <c r="BB160" s="595">
        <f t="shared" si="213"/>
        <v>13.688038808945183</v>
      </c>
      <c r="BC160" s="595">
        <f t="shared" si="213"/>
        <v>13.688038808945183</v>
      </c>
      <c r="BD160" s="595">
        <f t="shared" si="213"/>
        <v>13.688038808945183</v>
      </c>
      <c r="BE160" s="595">
        <f t="shared" si="213"/>
        <v>13.688038808945183</v>
      </c>
      <c r="BF160" s="595">
        <f t="shared" si="213"/>
        <v>13.688038808945183</v>
      </c>
      <c r="BG160" s="595">
        <f t="shared" si="213"/>
        <v>13.688038808945183</v>
      </c>
      <c r="BH160" s="595">
        <f t="shared" si="213"/>
        <v>13.688038808945183</v>
      </c>
      <c r="BI160" s="595">
        <f t="shared" si="213"/>
        <v>13.688038808945183</v>
      </c>
    </row>
    <row r="161" spans="1:61">
      <c r="A161" s="176" t="s">
        <v>271</v>
      </c>
      <c r="B161" s="176"/>
      <c r="C161" s="176"/>
      <c r="D161" s="176"/>
      <c r="E161" s="176"/>
      <c r="F161" s="176"/>
      <c r="G161" s="176"/>
      <c r="H161" s="176"/>
      <c r="I161" s="176"/>
      <c r="J161" s="176"/>
      <c r="K161" s="176"/>
      <c r="L161" s="176"/>
      <c r="M161" s="176"/>
      <c r="N161" s="176"/>
      <c r="O161" s="176"/>
      <c r="P161" s="636">
        <f>P138*$B$141</f>
        <v>1.6944444444444446E-2</v>
      </c>
      <c r="Q161" s="595"/>
      <c r="R161" s="595"/>
      <c r="S161" s="595">
        <f t="shared" si="214"/>
        <v>12.183055555555557</v>
      </c>
      <c r="T161" s="595">
        <f t="shared" si="213"/>
        <v>11.428347383666837</v>
      </c>
      <c r="U161" s="595">
        <f t="shared" si="213"/>
        <v>11.330427162893312</v>
      </c>
      <c r="V161" s="595">
        <f t="shared" si="213"/>
        <v>11.232506942119786</v>
      </c>
      <c r="W161" s="595">
        <f t="shared" si="213"/>
        <v>11.13458672134626</v>
      </c>
      <c r="X161" s="595">
        <f t="shared" si="213"/>
        <v>11.036666500572736</v>
      </c>
      <c r="Y161" s="595">
        <f t="shared" si="213"/>
        <v>10.938746279799206</v>
      </c>
      <c r="Z161" s="595">
        <f t="shared" si="213"/>
        <v>10.713323079547955</v>
      </c>
      <c r="AA161" s="595">
        <f t="shared" si="213"/>
        <v>10.487899879296705</v>
      </c>
      <c r="AB161" s="595">
        <f t="shared" si="213"/>
        <v>10.262476679045456</v>
      </c>
      <c r="AC161" s="595">
        <f t="shared" si="213"/>
        <v>10.037053478794205</v>
      </c>
      <c r="AD161" s="595">
        <f t="shared" si="213"/>
        <v>9.8116302785429532</v>
      </c>
      <c r="AE161" s="595">
        <f t="shared" si="213"/>
        <v>9.3620933372226922</v>
      </c>
      <c r="AF161" s="595">
        <f t="shared" si="213"/>
        <v>8.9125563959024294</v>
      </c>
      <c r="AG161" s="595">
        <f t="shared" si="213"/>
        <v>8.4630194545821684</v>
      </c>
      <c r="AH161" s="595">
        <f t="shared" si="213"/>
        <v>8.0134825132619074</v>
      </c>
      <c r="AI161" s="595">
        <f t="shared" si="213"/>
        <v>7.5639455719416455</v>
      </c>
      <c r="AJ161" s="595">
        <f t="shared" si="213"/>
        <v>7.3162630747437047</v>
      </c>
      <c r="AK161" s="595">
        <f t="shared" si="213"/>
        <v>7.068580577545764</v>
      </c>
      <c r="AL161" s="595">
        <f t="shared" si="213"/>
        <v>6.8208980803478223</v>
      </c>
      <c r="AM161" s="595">
        <f t="shared" si="213"/>
        <v>6.5732155831498815</v>
      </c>
      <c r="AN161" s="595">
        <f t="shared" si="213"/>
        <v>6.3255330859519416</v>
      </c>
      <c r="AO161" s="595">
        <f t="shared" si="213"/>
        <v>6.3255330859519416</v>
      </c>
      <c r="AP161" s="595">
        <f t="shared" si="213"/>
        <v>6.3255330859519416</v>
      </c>
      <c r="AQ161" s="595">
        <f t="shared" si="213"/>
        <v>6.3255330859519416</v>
      </c>
      <c r="AR161" s="595">
        <f t="shared" si="213"/>
        <v>6.3255330859519416</v>
      </c>
      <c r="AS161" s="595">
        <f t="shared" si="213"/>
        <v>6.3255330859519416</v>
      </c>
      <c r="AT161" s="595">
        <f t="shared" si="213"/>
        <v>6.3255330859519416</v>
      </c>
      <c r="AU161" s="595">
        <f t="shared" si="213"/>
        <v>6.3255330859519416</v>
      </c>
      <c r="AV161" s="595">
        <f t="shared" si="213"/>
        <v>6.3255330859519416</v>
      </c>
      <c r="AW161" s="595">
        <f t="shared" si="213"/>
        <v>6.3255330859519416</v>
      </c>
      <c r="AX161" s="595">
        <f t="shared" si="213"/>
        <v>6.3255330859519416</v>
      </c>
      <c r="AY161" s="595">
        <f t="shared" si="213"/>
        <v>6.3255330859519416</v>
      </c>
      <c r="AZ161" s="595">
        <f t="shared" si="213"/>
        <v>6.3255330859519416</v>
      </c>
      <c r="BA161" s="595">
        <f t="shared" si="213"/>
        <v>6.3255330859519416</v>
      </c>
      <c r="BB161" s="595">
        <f t="shared" si="213"/>
        <v>6.3255330859519416</v>
      </c>
      <c r="BC161" s="595">
        <f t="shared" si="213"/>
        <v>6.3255330859519416</v>
      </c>
      <c r="BD161" s="595">
        <f t="shared" si="213"/>
        <v>6.3255330859519416</v>
      </c>
      <c r="BE161" s="595">
        <f t="shared" si="213"/>
        <v>6.3255330859519416</v>
      </c>
      <c r="BF161" s="595">
        <f t="shared" si="213"/>
        <v>6.3255330859519416</v>
      </c>
      <c r="BG161" s="595">
        <f t="shared" si="213"/>
        <v>6.3255330859519416</v>
      </c>
      <c r="BH161" s="595">
        <f t="shared" si="213"/>
        <v>6.3255330859519416</v>
      </c>
      <c r="BI161" s="595">
        <f t="shared" si="213"/>
        <v>6.3255330859519416</v>
      </c>
    </row>
    <row r="162" spans="1:61" ht="30" customHeight="1">
      <c r="A162" s="823" t="s">
        <v>484</v>
      </c>
      <c r="B162" s="626"/>
      <c r="C162" s="626"/>
      <c r="D162" s="626"/>
      <c r="E162" s="626"/>
      <c r="F162" s="626"/>
      <c r="G162" s="626"/>
      <c r="H162" s="626"/>
      <c r="I162" s="626"/>
      <c r="J162" s="626"/>
      <c r="K162" s="626"/>
      <c r="L162" s="626"/>
      <c r="M162" s="626"/>
      <c r="N162" s="626"/>
      <c r="O162" s="626"/>
      <c r="P162" s="823"/>
      <c r="Q162" s="626"/>
      <c r="R162" s="626"/>
      <c r="S162" s="626" t="s">
        <v>694</v>
      </c>
      <c r="T162" s="626"/>
      <c r="U162" s="626"/>
      <c r="V162" s="626"/>
      <c r="W162" s="626"/>
      <c r="X162" s="626"/>
      <c r="Y162" s="626"/>
      <c r="Z162" s="626"/>
      <c r="AA162" s="626"/>
      <c r="AB162" s="626"/>
      <c r="AC162" s="626"/>
      <c r="AD162" s="626"/>
      <c r="AE162" s="626"/>
      <c r="AF162" s="626"/>
      <c r="AG162" s="626"/>
      <c r="AH162" s="626"/>
      <c r="AI162" s="626"/>
      <c r="AJ162" s="626"/>
      <c r="AK162" s="626"/>
      <c r="AL162" s="626"/>
      <c r="AM162" s="626"/>
      <c r="AN162" s="626"/>
      <c r="AO162" s="626"/>
      <c r="AP162" s="626"/>
      <c r="AQ162" s="626"/>
      <c r="AR162" s="626"/>
      <c r="AS162" s="626"/>
      <c r="AT162" s="626"/>
      <c r="AU162" s="626"/>
      <c r="AV162" s="626"/>
      <c r="AW162" s="626"/>
      <c r="AX162" s="626"/>
      <c r="AY162" s="626"/>
      <c r="AZ162" s="626"/>
      <c r="BA162" s="626"/>
      <c r="BB162" s="626"/>
      <c r="BC162" s="626"/>
      <c r="BD162" s="626"/>
      <c r="BE162" s="626"/>
      <c r="BF162" s="626"/>
      <c r="BG162" s="626"/>
      <c r="BH162" s="626"/>
      <c r="BI162" s="626"/>
    </row>
    <row r="163" spans="1:61" ht="30" customHeight="1" thickBot="1">
      <c r="A163" s="824"/>
      <c r="B163" s="625"/>
      <c r="C163" s="625"/>
      <c r="D163" s="625"/>
      <c r="E163" s="625"/>
      <c r="F163" s="625"/>
      <c r="G163" s="625"/>
      <c r="H163" s="625"/>
      <c r="I163" s="625"/>
      <c r="J163" s="625"/>
      <c r="K163" s="625"/>
      <c r="L163" s="625"/>
      <c r="M163" s="625"/>
      <c r="N163" s="625"/>
      <c r="O163" s="625"/>
      <c r="P163" s="824"/>
      <c r="Q163" s="625"/>
      <c r="R163" s="625"/>
      <c r="S163" s="625">
        <v>2019</v>
      </c>
      <c r="T163" s="625">
        <f>S163+1</f>
        <v>2020</v>
      </c>
      <c r="U163" s="625">
        <f t="shared" ref="U163" si="215">T163+1</f>
        <v>2021</v>
      </c>
      <c r="V163" s="625">
        <f t="shared" ref="V163" si="216">U163+1</f>
        <v>2022</v>
      </c>
      <c r="W163" s="625">
        <f t="shared" ref="W163" si="217">V163+1</f>
        <v>2023</v>
      </c>
      <c r="X163" s="625">
        <f t="shared" ref="X163" si="218">W163+1</f>
        <v>2024</v>
      </c>
      <c r="Y163" s="625">
        <f t="shared" ref="Y163" si="219">X163+1</f>
        <v>2025</v>
      </c>
      <c r="Z163" s="625">
        <f t="shared" ref="Z163" si="220">Y163+1</f>
        <v>2026</v>
      </c>
      <c r="AA163" s="625">
        <f t="shared" ref="AA163" si="221">Z163+1</f>
        <v>2027</v>
      </c>
      <c r="AB163" s="625">
        <f t="shared" ref="AB163" si="222">AA163+1</f>
        <v>2028</v>
      </c>
      <c r="AC163" s="625">
        <f t="shared" ref="AC163" si="223">AB163+1</f>
        <v>2029</v>
      </c>
      <c r="AD163" s="625">
        <f t="shared" ref="AD163" si="224">AC163+1</f>
        <v>2030</v>
      </c>
      <c r="AE163" s="625">
        <f t="shared" ref="AE163" si="225">AD163+1</f>
        <v>2031</v>
      </c>
      <c r="AF163" s="625">
        <f t="shared" ref="AF163" si="226">AE163+1</f>
        <v>2032</v>
      </c>
      <c r="AG163" s="625">
        <f t="shared" ref="AG163" si="227">AF163+1</f>
        <v>2033</v>
      </c>
      <c r="AH163" s="625">
        <f t="shared" ref="AH163" si="228">AG163+1</f>
        <v>2034</v>
      </c>
      <c r="AI163" s="625">
        <f t="shared" ref="AI163" si="229">AH163+1</f>
        <v>2035</v>
      </c>
      <c r="AJ163" s="625">
        <f t="shared" ref="AJ163" si="230">AI163+1</f>
        <v>2036</v>
      </c>
      <c r="AK163" s="625">
        <f t="shared" ref="AK163" si="231">AJ163+1</f>
        <v>2037</v>
      </c>
      <c r="AL163" s="625">
        <f t="shared" ref="AL163" si="232">AK163+1</f>
        <v>2038</v>
      </c>
      <c r="AM163" s="625">
        <f t="shared" ref="AM163" si="233">AL163+1</f>
        <v>2039</v>
      </c>
      <c r="AN163" s="625">
        <f t="shared" ref="AN163" si="234">AM163+1</f>
        <v>2040</v>
      </c>
      <c r="AO163" s="625">
        <f t="shared" ref="AO163" si="235">AN163+1</f>
        <v>2041</v>
      </c>
      <c r="AP163" s="625">
        <f t="shared" ref="AP163" si="236">AO163+1</f>
        <v>2042</v>
      </c>
      <c r="AQ163" s="625">
        <f t="shared" ref="AQ163" si="237">AP163+1</f>
        <v>2043</v>
      </c>
      <c r="AR163" s="625">
        <f t="shared" ref="AR163" si="238">AQ163+1</f>
        <v>2044</v>
      </c>
      <c r="AS163" s="625">
        <f t="shared" ref="AS163" si="239">AR163+1</f>
        <v>2045</v>
      </c>
      <c r="AT163" s="625">
        <f t="shared" ref="AT163" si="240">AS163+1</f>
        <v>2046</v>
      </c>
      <c r="AU163" s="625">
        <f t="shared" ref="AU163" si="241">AT163+1</f>
        <v>2047</v>
      </c>
      <c r="AV163" s="625">
        <f t="shared" ref="AV163" si="242">AU163+1</f>
        <v>2048</v>
      </c>
      <c r="AW163" s="625">
        <f t="shared" ref="AW163" si="243">AV163+1</f>
        <v>2049</v>
      </c>
      <c r="AX163" s="625">
        <f t="shared" ref="AX163" si="244">AW163+1</f>
        <v>2050</v>
      </c>
      <c r="AY163" s="625">
        <f t="shared" ref="AY163" si="245">AX163+1</f>
        <v>2051</v>
      </c>
      <c r="AZ163" s="625">
        <f t="shared" ref="AZ163" si="246">AY163+1</f>
        <v>2052</v>
      </c>
      <c r="BA163" s="625">
        <f t="shared" ref="BA163" si="247">AZ163+1</f>
        <v>2053</v>
      </c>
      <c r="BB163" s="625">
        <f t="shared" ref="BB163" si="248">BA163+1</f>
        <v>2054</v>
      </c>
      <c r="BC163" s="625">
        <f t="shared" ref="BC163" si="249">BB163+1</f>
        <v>2055</v>
      </c>
      <c r="BD163" s="625">
        <f t="shared" ref="BD163" si="250">BC163+1</f>
        <v>2056</v>
      </c>
      <c r="BE163" s="625">
        <f t="shared" ref="BE163" si="251">BD163+1</f>
        <v>2057</v>
      </c>
      <c r="BF163" s="625">
        <f t="shared" ref="BF163" si="252">BE163+1</f>
        <v>2058</v>
      </c>
      <c r="BG163" s="625">
        <f t="shared" ref="BG163" si="253">BF163+1</f>
        <v>2059</v>
      </c>
      <c r="BH163" s="625">
        <f t="shared" ref="BH163" si="254">BG163+1</f>
        <v>2060</v>
      </c>
      <c r="BI163" s="625">
        <f t="shared" ref="BI163" si="255">BH163+1</f>
        <v>2061</v>
      </c>
    </row>
    <row r="164" spans="1:61">
      <c r="A164" s="176" t="s">
        <v>475</v>
      </c>
      <c r="B164" s="176"/>
      <c r="C164" s="176"/>
      <c r="D164" s="176"/>
      <c r="E164" s="176"/>
      <c r="F164" s="176"/>
      <c r="G164" s="176"/>
      <c r="H164" s="176"/>
      <c r="I164" s="176"/>
      <c r="J164" s="176"/>
      <c r="K164" s="176"/>
      <c r="L164" s="176"/>
      <c r="M164" s="176"/>
      <c r="N164" s="176"/>
      <c r="O164" s="176"/>
      <c r="P164" s="636"/>
      <c r="Q164" s="595"/>
      <c r="R164" s="595"/>
      <c r="S164" s="628">
        <f>$P$148</f>
        <v>91.456000000000003</v>
      </c>
      <c r="T164" s="595">
        <f>$S164</f>
        <v>91.456000000000003</v>
      </c>
      <c r="U164" s="595">
        <f>$S164</f>
        <v>91.456000000000003</v>
      </c>
      <c r="V164" s="595">
        <f t="shared" ref="V164:BI167" si="256">$S164</f>
        <v>91.456000000000003</v>
      </c>
      <c r="W164" s="595">
        <f t="shared" si="256"/>
        <v>91.456000000000003</v>
      </c>
      <c r="X164" s="595">
        <f t="shared" si="256"/>
        <v>91.456000000000003</v>
      </c>
      <c r="Y164" s="595">
        <f t="shared" si="256"/>
        <v>91.456000000000003</v>
      </c>
      <c r="Z164" s="595">
        <f t="shared" si="256"/>
        <v>91.456000000000003</v>
      </c>
      <c r="AA164" s="595">
        <f t="shared" si="256"/>
        <v>91.456000000000003</v>
      </c>
      <c r="AB164" s="595">
        <f t="shared" si="256"/>
        <v>91.456000000000003</v>
      </c>
      <c r="AC164" s="595">
        <f t="shared" si="256"/>
        <v>91.456000000000003</v>
      </c>
      <c r="AD164" s="595">
        <f t="shared" si="256"/>
        <v>91.456000000000003</v>
      </c>
      <c r="AE164" s="595">
        <f t="shared" si="256"/>
        <v>91.456000000000003</v>
      </c>
      <c r="AF164" s="595">
        <f t="shared" si="256"/>
        <v>91.456000000000003</v>
      </c>
      <c r="AG164" s="595">
        <f t="shared" si="256"/>
        <v>91.456000000000003</v>
      </c>
      <c r="AH164" s="595">
        <f t="shared" si="256"/>
        <v>91.456000000000003</v>
      </c>
      <c r="AI164" s="595">
        <f t="shared" si="256"/>
        <v>91.456000000000003</v>
      </c>
      <c r="AJ164" s="595">
        <f t="shared" si="256"/>
        <v>91.456000000000003</v>
      </c>
      <c r="AK164" s="595">
        <f t="shared" si="256"/>
        <v>91.456000000000003</v>
      </c>
      <c r="AL164" s="595">
        <f t="shared" si="256"/>
        <v>91.456000000000003</v>
      </c>
      <c r="AM164" s="595">
        <f t="shared" si="256"/>
        <v>91.456000000000003</v>
      </c>
      <c r="AN164" s="595">
        <f t="shared" si="256"/>
        <v>91.456000000000003</v>
      </c>
      <c r="AO164" s="595">
        <f t="shared" si="256"/>
        <v>91.456000000000003</v>
      </c>
      <c r="AP164" s="595">
        <f t="shared" si="256"/>
        <v>91.456000000000003</v>
      </c>
      <c r="AQ164" s="595">
        <f t="shared" si="256"/>
        <v>91.456000000000003</v>
      </c>
      <c r="AR164" s="595">
        <f t="shared" si="256"/>
        <v>91.456000000000003</v>
      </c>
      <c r="AS164" s="595">
        <f t="shared" si="256"/>
        <v>91.456000000000003</v>
      </c>
      <c r="AT164" s="595">
        <f t="shared" si="256"/>
        <v>91.456000000000003</v>
      </c>
      <c r="AU164" s="595">
        <f t="shared" si="256"/>
        <v>91.456000000000003</v>
      </c>
      <c r="AV164" s="595">
        <f t="shared" si="256"/>
        <v>91.456000000000003</v>
      </c>
      <c r="AW164" s="595">
        <f t="shared" si="256"/>
        <v>91.456000000000003</v>
      </c>
      <c r="AX164" s="595">
        <f t="shared" si="256"/>
        <v>91.456000000000003</v>
      </c>
      <c r="AY164" s="595">
        <f t="shared" si="256"/>
        <v>91.456000000000003</v>
      </c>
      <c r="AZ164" s="595">
        <f t="shared" si="256"/>
        <v>91.456000000000003</v>
      </c>
      <c r="BA164" s="595">
        <f t="shared" si="256"/>
        <v>91.456000000000003</v>
      </c>
      <c r="BB164" s="595">
        <f t="shared" si="256"/>
        <v>91.456000000000003</v>
      </c>
      <c r="BC164" s="595">
        <f t="shared" si="256"/>
        <v>91.456000000000003</v>
      </c>
      <c r="BD164" s="595">
        <f t="shared" si="256"/>
        <v>91.456000000000003</v>
      </c>
      <c r="BE164" s="595">
        <f t="shared" si="256"/>
        <v>91.456000000000003</v>
      </c>
      <c r="BF164" s="595">
        <f t="shared" si="256"/>
        <v>91.456000000000003</v>
      </c>
      <c r="BG164" s="595">
        <f t="shared" si="256"/>
        <v>91.456000000000003</v>
      </c>
      <c r="BH164" s="595">
        <f t="shared" si="256"/>
        <v>91.456000000000003</v>
      </c>
      <c r="BI164" s="595">
        <f t="shared" si="256"/>
        <v>91.456000000000003</v>
      </c>
    </row>
    <row r="165" spans="1:61">
      <c r="A165" s="176" t="s">
        <v>477</v>
      </c>
      <c r="B165" s="176"/>
      <c r="C165" s="176"/>
      <c r="D165" s="176"/>
      <c r="E165" s="176"/>
      <c r="F165" s="176"/>
      <c r="G165" s="176"/>
      <c r="H165" s="176"/>
      <c r="I165" s="176"/>
      <c r="J165" s="176"/>
      <c r="K165" s="176"/>
      <c r="L165" s="176"/>
      <c r="M165" s="176"/>
      <c r="N165" s="176"/>
      <c r="O165" s="176"/>
      <c r="P165" s="636"/>
      <c r="Q165" s="595"/>
      <c r="R165" s="595"/>
      <c r="S165" s="596">
        <f>$P$149</f>
        <v>91.456000000000003</v>
      </c>
      <c r="T165" s="595">
        <f t="shared" ref="T165:AI167" si="257">$S165</f>
        <v>91.456000000000003</v>
      </c>
      <c r="U165" s="595">
        <f t="shared" si="257"/>
        <v>91.456000000000003</v>
      </c>
      <c r="V165" s="595">
        <f t="shared" si="257"/>
        <v>91.456000000000003</v>
      </c>
      <c r="W165" s="595">
        <f t="shared" si="257"/>
        <v>91.456000000000003</v>
      </c>
      <c r="X165" s="595">
        <f t="shared" si="257"/>
        <v>91.456000000000003</v>
      </c>
      <c r="Y165" s="595">
        <f t="shared" si="257"/>
        <v>91.456000000000003</v>
      </c>
      <c r="Z165" s="595">
        <f t="shared" si="257"/>
        <v>91.456000000000003</v>
      </c>
      <c r="AA165" s="595">
        <f t="shared" si="257"/>
        <v>91.456000000000003</v>
      </c>
      <c r="AB165" s="595">
        <f t="shared" si="257"/>
        <v>91.456000000000003</v>
      </c>
      <c r="AC165" s="595">
        <f t="shared" si="257"/>
        <v>91.456000000000003</v>
      </c>
      <c r="AD165" s="595">
        <f t="shared" si="257"/>
        <v>91.456000000000003</v>
      </c>
      <c r="AE165" s="595">
        <f t="shared" si="257"/>
        <v>91.456000000000003</v>
      </c>
      <c r="AF165" s="595">
        <f t="shared" si="257"/>
        <v>91.456000000000003</v>
      </c>
      <c r="AG165" s="595">
        <f t="shared" si="257"/>
        <v>91.456000000000003</v>
      </c>
      <c r="AH165" s="595">
        <f t="shared" si="257"/>
        <v>91.456000000000003</v>
      </c>
      <c r="AI165" s="595">
        <f t="shared" si="257"/>
        <v>91.456000000000003</v>
      </c>
      <c r="AJ165" s="595">
        <f t="shared" si="256"/>
        <v>91.456000000000003</v>
      </c>
      <c r="AK165" s="595">
        <f t="shared" si="256"/>
        <v>91.456000000000003</v>
      </c>
      <c r="AL165" s="595">
        <f t="shared" si="256"/>
        <v>91.456000000000003</v>
      </c>
      <c r="AM165" s="595">
        <f t="shared" si="256"/>
        <v>91.456000000000003</v>
      </c>
      <c r="AN165" s="595">
        <f t="shared" si="256"/>
        <v>91.456000000000003</v>
      </c>
      <c r="AO165" s="595">
        <f t="shared" si="256"/>
        <v>91.456000000000003</v>
      </c>
      <c r="AP165" s="595">
        <f t="shared" si="256"/>
        <v>91.456000000000003</v>
      </c>
      <c r="AQ165" s="595">
        <f t="shared" si="256"/>
        <v>91.456000000000003</v>
      </c>
      <c r="AR165" s="595">
        <f t="shared" si="256"/>
        <v>91.456000000000003</v>
      </c>
      <c r="AS165" s="595">
        <f t="shared" si="256"/>
        <v>91.456000000000003</v>
      </c>
      <c r="AT165" s="595">
        <f t="shared" si="256"/>
        <v>91.456000000000003</v>
      </c>
      <c r="AU165" s="595">
        <f t="shared" si="256"/>
        <v>91.456000000000003</v>
      </c>
      <c r="AV165" s="595">
        <f t="shared" si="256"/>
        <v>91.456000000000003</v>
      </c>
      <c r="AW165" s="595">
        <f t="shared" si="256"/>
        <v>91.456000000000003</v>
      </c>
      <c r="AX165" s="595">
        <f t="shared" si="256"/>
        <v>91.456000000000003</v>
      </c>
      <c r="AY165" s="595">
        <f t="shared" si="256"/>
        <v>91.456000000000003</v>
      </c>
      <c r="AZ165" s="595">
        <f t="shared" si="256"/>
        <v>91.456000000000003</v>
      </c>
      <c r="BA165" s="595">
        <f t="shared" si="256"/>
        <v>91.456000000000003</v>
      </c>
      <c r="BB165" s="595">
        <f t="shared" si="256"/>
        <v>91.456000000000003</v>
      </c>
      <c r="BC165" s="595">
        <f t="shared" si="256"/>
        <v>91.456000000000003</v>
      </c>
      <c r="BD165" s="595">
        <f t="shared" si="256"/>
        <v>91.456000000000003</v>
      </c>
      <c r="BE165" s="595">
        <f t="shared" si="256"/>
        <v>91.456000000000003</v>
      </c>
      <c r="BF165" s="595">
        <f t="shared" si="256"/>
        <v>91.456000000000003</v>
      </c>
      <c r="BG165" s="595">
        <f t="shared" si="256"/>
        <v>91.456000000000003</v>
      </c>
      <c r="BH165" s="595">
        <f t="shared" si="256"/>
        <v>91.456000000000003</v>
      </c>
      <c r="BI165" s="595">
        <f t="shared" si="256"/>
        <v>91.456000000000003</v>
      </c>
    </row>
    <row r="166" spans="1:61">
      <c r="A166" s="176" t="s">
        <v>478</v>
      </c>
      <c r="B166" s="176"/>
      <c r="C166" s="176"/>
      <c r="D166" s="176"/>
      <c r="E166" s="176"/>
      <c r="F166" s="176"/>
      <c r="G166" s="176"/>
      <c r="H166" s="176"/>
      <c r="I166" s="176"/>
      <c r="J166" s="176"/>
      <c r="K166" s="176"/>
      <c r="L166" s="176"/>
      <c r="M166" s="176"/>
      <c r="N166" s="176"/>
      <c r="O166" s="176"/>
      <c r="P166" s="636"/>
      <c r="Q166" s="595"/>
      <c r="R166" s="595"/>
      <c r="S166" s="596">
        <f>$P$150</f>
        <v>90.917000000000002</v>
      </c>
      <c r="T166" s="595">
        <f t="shared" si="257"/>
        <v>90.917000000000002</v>
      </c>
      <c r="U166" s="595">
        <f t="shared" si="257"/>
        <v>90.917000000000002</v>
      </c>
      <c r="V166" s="595">
        <f t="shared" si="256"/>
        <v>90.917000000000002</v>
      </c>
      <c r="W166" s="595">
        <f t="shared" si="256"/>
        <v>90.917000000000002</v>
      </c>
      <c r="X166" s="595">
        <f t="shared" si="256"/>
        <v>90.917000000000002</v>
      </c>
      <c r="Y166" s="595">
        <f t="shared" si="256"/>
        <v>90.917000000000002</v>
      </c>
      <c r="Z166" s="595">
        <f t="shared" si="256"/>
        <v>90.917000000000002</v>
      </c>
      <c r="AA166" s="595">
        <f t="shared" si="256"/>
        <v>90.917000000000002</v>
      </c>
      <c r="AB166" s="595">
        <f t="shared" si="256"/>
        <v>90.917000000000002</v>
      </c>
      <c r="AC166" s="595">
        <f t="shared" si="256"/>
        <v>90.917000000000002</v>
      </c>
      <c r="AD166" s="595">
        <f t="shared" si="256"/>
        <v>90.917000000000002</v>
      </c>
      <c r="AE166" s="595">
        <f t="shared" si="256"/>
        <v>90.917000000000002</v>
      </c>
      <c r="AF166" s="595">
        <f t="shared" si="256"/>
        <v>90.917000000000002</v>
      </c>
      <c r="AG166" s="595">
        <f t="shared" si="256"/>
        <v>90.917000000000002</v>
      </c>
      <c r="AH166" s="595">
        <f t="shared" si="256"/>
        <v>90.917000000000002</v>
      </c>
      <c r="AI166" s="595">
        <f t="shared" si="256"/>
        <v>90.917000000000002</v>
      </c>
      <c r="AJ166" s="595">
        <f t="shared" si="256"/>
        <v>90.917000000000002</v>
      </c>
      <c r="AK166" s="595">
        <f t="shared" si="256"/>
        <v>90.917000000000002</v>
      </c>
      <c r="AL166" s="595">
        <f t="shared" si="256"/>
        <v>90.917000000000002</v>
      </c>
      <c r="AM166" s="595">
        <f t="shared" si="256"/>
        <v>90.917000000000002</v>
      </c>
      <c r="AN166" s="595">
        <f t="shared" si="256"/>
        <v>90.917000000000002</v>
      </c>
      <c r="AO166" s="595">
        <f t="shared" si="256"/>
        <v>90.917000000000002</v>
      </c>
      <c r="AP166" s="595">
        <f t="shared" si="256"/>
        <v>90.917000000000002</v>
      </c>
      <c r="AQ166" s="595">
        <f t="shared" si="256"/>
        <v>90.917000000000002</v>
      </c>
      <c r="AR166" s="595">
        <f t="shared" si="256"/>
        <v>90.917000000000002</v>
      </c>
      <c r="AS166" s="595">
        <f t="shared" si="256"/>
        <v>90.917000000000002</v>
      </c>
      <c r="AT166" s="595">
        <f t="shared" si="256"/>
        <v>90.917000000000002</v>
      </c>
      <c r="AU166" s="595">
        <f t="shared" si="256"/>
        <v>90.917000000000002</v>
      </c>
      <c r="AV166" s="595">
        <f t="shared" si="256"/>
        <v>90.917000000000002</v>
      </c>
      <c r="AW166" s="595">
        <f t="shared" si="256"/>
        <v>90.917000000000002</v>
      </c>
      <c r="AX166" s="595">
        <f t="shared" si="256"/>
        <v>90.917000000000002</v>
      </c>
      <c r="AY166" s="595">
        <f t="shared" si="256"/>
        <v>90.917000000000002</v>
      </c>
      <c r="AZ166" s="595">
        <f t="shared" si="256"/>
        <v>90.917000000000002</v>
      </c>
      <c r="BA166" s="595">
        <f t="shared" si="256"/>
        <v>90.917000000000002</v>
      </c>
      <c r="BB166" s="595">
        <f t="shared" si="256"/>
        <v>90.917000000000002</v>
      </c>
      <c r="BC166" s="595">
        <f t="shared" si="256"/>
        <v>90.917000000000002</v>
      </c>
      <c r="BD166" s="595">
        <f t="shared" si="256"/>
        <v>90.917000000000002</v>
      </c>
      <c r="BE166" s="595">
        <f t="shared" si="256"/>
        <v>90.917000000000002</v>
      </c>
      <c r="BF166" s="595">
        <f t="shared" si="256"/>
        <v>90.917000000000002</v>
      </c>
      <c r="BG166" s="595">
        <f t="shared" si="256"/>
        <v>90.917000000000002</v>
      </c>
      <c r="BH166" s="595">
        <f t="shared" si="256"/>
        <v>90.917000000000002</v>
      </c>
      <c r="BI166" s="595">
        <f t="shared" si="256"/>
        <v>90.917000000000002</v>
      </c>
    </row>
    <row r="167" spans="1:61">
      <c r="A167" s="176" t="s">
        <v>271</v>
      </c>
      <c r="B167" s="176"/>
      <c r="C167" s="176"/>
      <c r="D167" s="176"/>
      <c r="E167" s="176"/>
      <c r="F167" s="176"/>
      <c r="G167" s="176"/>
      <c r="H167" s="176"/>
      <c r="I167" s="176"/>
      <c r="J167" s="176"/>
      <c r="K167" s="176"/>
      <c r="L167" s="176"/>
      <c r="M167" s="176"/>
      <c r="N167" s="176"/>
      <c r="O167" s="176"/>
      <c r="P167" s="636"/>
      <c r="Q167" s="595"/>
      <c r="R167" s="595"/>
      <c r="S167" s="596">
        <f>$P$151</f>
        <v>31.4436</v>
      </c>
      <c r="T167" s="595">
        <f t="shared" si="257"/>
        <v>31.4436</v>
      </c>
      <c r="U167" s="595">
        <f t="shared" si="257"/>
        <v>31.4436</v>
      </c>
      <c r="V167" s="595">
        <f t="shared" si="256"/>
        <v>31.4436</v>
      </c>
      <c r="W167" s="595">
        <f t="shared" si="256"/>
        <v>31.4436</v>
      </c>
      <c r="X167" s="595">
        <f t="shared" si="256"/>
        <v>31.4436</v>
      </c>
      <c r="Y167" s="595">
        <f t="shared" si="256"/>
        <v>31.4436</v>
      </c>
      <c r="Z167" s="595">
        <f t="shared" si="256"/>
        <v>31.4436</v>
      </c>
      <c r="AA167" s="595">
        <f t="shared" si="256"/>
        <v>31.4436</v>
      </c>
      <c r="AB167" s="595">
        <f t="shared" si="256"/>
        <v>31.4436</v>
      </c>
      <c r="AC167" s="595">
        <f t="shared" si="256"/>
        <v>31.4436</v>
      </c>
      <c r="AD167" s="595">
        <f t="shared" si="256"/>
        <v>31.4436</v>
      </c>
      <c r="AE167" s="595">
        <f t="shared" si="256"/>
        <v>31.4436</v>
      </c>
      <c r="AF167" s="595">
        <f t="shared" si="256"/>
        <v>31.4436</v>
      </c>
      <c r="AG167" s="595">
        <f t="shared" si="256"/>
        <v>31.4436</v>
      </c>
      <c r="AH167" s="595">
        <f t="shared" si="256"/>
        <v>31.4436</v>
      </c>
      <c r="AI167" s="595">
        <f t="shared" si="256"/>
        <v>31.4436</v>
      </c>
      <c r="AJ167" s="595">
        <f t="shared" si="256"/>
        <v>31.4436</v>
      </c>
      <c r="AK167" s="595">
        <f t="shared" si="256"/>
        <v>31.4436</v>
      </c>
      <c r="AL167" s="595">
        <f t="shared" si="256"/>
        <v>31.4436</v>
      </c>
      <c r="AM167" s="595">
        <f t="shared" si="256"/>
        <v>31.4436</v>
      </c>
      <c r="AN167" s="595">
        <f t="shared" si="256"/>
        <v>31.4436</v>
      </c>
      <c r="AO167" s="595">
        <f t="shared" si="256"/>
        <v>31.4436</v>
      </c>
      <c r="AP167" s="595">
        <f t="shared" si="256"/>
        <v>31.4436</v>
      </c>
      <c r="AQ167" s="595">
        <f t="shared" si="256"/>
        <v>31.4436</v>
      </c>
      <c r="AR167" s="595">
        <f t="shared" si="256"/>
        <v>31.4436</v>
      </c>
      <c r="AS167" s="595">
        <f t="shared" si="256"/>
        <v>31.4436</v>
      </c>
      <c r="AT167" s="595">
        <f t="shared" si="256"/>
        <v>31.4436</v>
      </c>
      <c r="AU167" s="595">
        <f t="shared" si="256"/>
        <v>31.4436</v>
      </c>
      <c r="AV167" s="595">
        <f t="shared" si="256"/>
        <v>31.4436</v>
      </c>
      <c r="AW167" s="595">
        <f t="shared" si="256"/>
        <v>31.4436</v>
      </c>
      <c r="AX167" s="595">
        <f t="shared" si="256"/>
        <v>31.4436</v>
      </c>
      <c r="AY167" s="595">
        <f t="shared" si="256"/>
        <v>31.4436</v>
      </c>
      <c r="AZ167" s="595">
        <f t="shared" si="256"/>
        <v>31.4436</v>
      </c>
      <c r="BA167" s="595">
        <f t="shared" si="256"/>
        <v>31.4436</v>
      </c>
      <c r="BB167" s="595">
        <f t="shared" si="256"/>
        <v>31.4436</v>
      </c>
      <c r="BC167" s="595">
        <f t="shared" si="256"/>
        <v>31.4436</v>
      </c>
      <c r="BD167" s="595">
        <f t="shared" si="256"/>
        <v>31.4436</v>
      </c>
      <c r="BE167" s="595">
        <f t="shared" si="256"/>
        <v>31.4436</v>
      </c>
      <c r="BF167" s="595">
        <f t="shared" si="256"/>
        <v>31.4436</v>
      </c>
      <c r="BG167" s="595">
        <f t="shared" si="256"/>
        <v>31.4436</v>
      </c>
      <c r="BH167" s="595">
        <f t="shared" si="256"/>
        <v>31.4436</v>
      </c>
      <c r="BI167" s="595">
        <f t="shared" si="256"/>
        <v>31.4436</v>
      </c>
    </row>
    <row r="168" spans="1:61"/>
    <row r="169" spans="1:61" ht="15" customHeight="1"/>
    <row r="170" spans="1:61" s="668" customFormat="1">
      <c r="A170" s="830" t="s">
        <v>913</v>
      </c>
      <c r="B170" s="830"/>
      <c r="C170" s="830"/>
      <c r="D170" s="830"/>
      <c r="E170" s="830"/>
      <c r="F170" s="830"/>
      <c r="G170" s="830"/>
      <c r="H170" s="830"/>
      <c r="I170" s="830"/>
      <c r="J170" s="830"/>
      <c r="K170" s="830"/>
      <c r="L170" s="830"/>
      <c r="M170" s="830"/>
      <c r="N170" s="830"/>
      <c r="O170" s="830"/>
      <c r="P170" s="830"/>
      <c r="Q170" s="830"/>
      <c r="R170" s="830"/>
      <c r="S170" s="830"/>
      <c r="T170" s="830"/>
      <c r="U170" s="830"/>
      <c r="V170" s="830"/>
    </row>
    <row r="171" spans="1:61">
      <c r="A171" s="757" t="s">
        <v>474</v>
      </c>
      <c r="B171" s="663" t="s">
        <v>309</v>
      </c>
      <c r="C171" s="649"/>
      <c r="D171" s="649"/>
      <c r="E171" s="649"/>
      <c r="F171" s="649"/>
      <c r="G171" s="649"/>
      <c r="H171" s="649"/>
      <c r="I171" s="649"/>
      <c r="J171" s="649"/>
      <c r="K171" s="649"/>
      <c r="L171" s="649"/>
      <c r="M171" s="649"/>
      <c r="N171" s="649"/>
      <c r="O171" s="649"/>
      <c r="P171" s="652"/>
      <c r="Q171" s="6"/>
      <c r="R171" s="6"/>
      <c r="S171" s="6"/>
      <c r="T171" s="6">
        <v>2020</v>
      </c>
      <c r="U171" s="6">
        <f>T171+1</f>
        <v>2021</v>
      </c>
      <c r="V171" s="6">
        <f t="shared" ref="V171" si="258">U171+1</f>
        <v>2022</v>
      </c>
      <c r="W171" s="6">
        <f t="shared" ref="W171" si="259">V171+1</f>
        <v>2023</v>
      </c>
      <c r="X171" s="6">
        <f t="shared" ref="X171" si="260">W171+1</f>
        <v>2024</v>
      </c>
      <c r="Y171" s="6">
        <f t="shared" ref="Y171" si="261">X171+1</f>
        <v>2025</v>
      </c>
      <c r="Z171" s="6">
        <f t="shared" ref="Z171" si="262">Y171+1</f>
        <v>2026</v>
      </c>
      <c r="AA171" s="6">
        <f t="shared" ref="AA171" si="263">Z171+1</f>
        <v>2027</v>
      </c>
      <c r="AB171" s="6">
        <f t="shared" ref="AB171" si="264">AA171+1</f>
        <v>2028</v>
      </c>
      <c r="AC171" s="6">
        <f t="shared" ref="AC171" si="265">AB171+1</f>
        <v>2029</v>
      </c>
      <c r="AD171" s="6">
        <f t="shared" ref="AD171" si="266">AC171+1</f>
        <v>2030</v>
      </c>
      <c r="AE171" s="6">
        <f t="shared" ref="AE171" si="267">AD171+1</f>
        <v>2031</v>
      </c>
      <c r="AF171" s="6">
        <f t="shared" ref="AF171" si="268">AE171+1</f>
        <v>2032</v>
      </c>
      <c r="AG171" s="6">
        <f t="shared" ref="AG171" si="269">AF171+1</f>
        <v>2033</v>
      </c>
      <c r="AH171" s="6">
        <f t="shared" ref="AH171" si="270">AG171+1</f>
        <v>2034</v>
      </c>
      <c r="AI171" s="6">
        <f t="shared" ref="AI171" si="271">AH171+1</f>
        <v>2035</v>
      </c>
      <c r="AJ171" s="6">
        <f t="shared" ref="AJ171" si="272">AI171+1</f>
        <v>2036</v>
      </c>
      <c r="AK171" s="6">
        <f t="shared" ref="AK171" si="273">AJ171+1</f>
        <v>2037</v>
      </c>
      <c r="AL171" s="6">
        <f t="shared" ref="AL171" si="274">AK171+1</f>
        <v>2038</v>
      </c>
      <c r="AM171" s="6">
        <f t="shared" ref="AM171" si="275">AL171+1</f>
        <v>2039</v>
      </c>
      <c r="AN171" s="6">
        <f t="shared" ref="AN171" si="276">AM171+1</f>
        <v>2040</v>
      </c>
      <c r="AO171" s="6">
        <f t="shared" ref="AO171" si="277">AN171+1</f>
        <v>2041</v>
      </c>
      <c r="AP171" s="6">
        <f t="shared" ref="AP171" si="278">AO171+1</f>
        <v>2042</v>
      </c>
      <c r="AQ171" s="6">
        <f t="shared" ref="AQ171" si="279">AP171+1</f>
        <v>2043</v>
      </c>
      <c r="AR171" s="6">
        <f t="shared" ref="AR171" si="280">AQ171+1</f>
        <v>2044</v>
      </c>
      <c r="AS171" s="6">
        <f t="shared" ref="AS171" si="281">AR171+1</f>
        <v>2045</v>
      </c>
      <c r="AT171" s="6">
        <f t="shared" ref="AT171" si="282">AS171+1</f>
        <v>2046</v>
      </c>
      <c r="AU171" s="6">
        <f t="shared" ref="AU171" si="283">AT171+1</f>
        <v>2047</v>
      </c>
      <c r="AV171" s="6">
        <f t="shared" ref="AV171" si="284">AU171+1</f>
        <v>2048</v>
      </c>
      <c r="AW171" s="6">
        <f t="shared" ref="AW171" si="285">AV171+1</f>
        <v>2049</v>
      </c>
      <c r="AX171" s="6">
        <f t="shared" ref="AX171" si="286">AW171+1</f>
        <v>2050</v>
      </c>
      <c r="AY171" s="6">
        <f t="shared" ref="AY171" si="287">AX171+1</f>
        <v>2051</v>
      </c>
      <c r="AZ171" s="6">
        <f t="shared" ref="AZ171" si="288">AY171+1</f>
        <v>2052</v>
      </c>
      <c r="BA171" s="6">
        <f t="shared" ref="BA171" si="289">AZ171+1</f>
        <v>2053</v>
      </c>
      <c r="BB171" s="6">
        <f t="shared" ref="BB171" si="290">BA171+1</f>
        <v>2054</v>
      </c>
      <c r="BC171" s="6">
        <f t="shared" ref="BC171" si="291">BB171+1</f>
        <v>2055</v>
      </c>
      <c r="BD171" s="6">
        <f t="shared" ref="BD171" si="292">BC171+1</f>
        <v>2056</v>
      </c>
      <c r="BE171" s="6">
        <f t="shared" ref="BE171" si="293">BD171+1</f>
        <v>2057</v>
      </c>
      <c r="BF171" s="6">
        <f t="shared" ref="BF171" si="294">BE171+1</f>
        <v>2058</v>
      </c>
      <c r="BG171" s="6">
        <f t="shared" ref="BG171" si="295">BF171+1</f>
        <v>2059</v>
      </c>
      <c r="BH171" s="6">
        <f t="shared" ref="BH171" si="296">BG171+1</f>
        <v>2060</v>
      </c>
      <c r="BI171" s="6">
        <f t="shared" ref="BI171" si="297">BH171+1</f>
        <v>2061</v>
      </c>
    </row>
    <row r="172" spans="1:61">
      <c r="A172" s="758"/>
      <c r="B172" s="664" t="s">
        <v>510</v>
      </c>
      <c r="C172" s="659"/>
      <c r="D172" s="659"/>
      <c r="E172" s="659"/>
      <c r="F172" s="659"/>
      <c r="G172" s="659"/>
      <c r="H172" s="659"/>
      <c r="I172" s="659"/>
      <c r="J172" s="659"/>
      <c r="K172" s="659"/>
      <c r="L172" s="659"/>
      <c r="M172" s="659"/>
      <c r="N172" s="659"/>
      <c r="O172" s="659"/>
      <c r="P172" s="665"/>
      <c r="Q172" s="661">
        <f>DATE(2016,12,31)</f>
        <v>42735</v>
      </c>
      <c r="R172" s="661">
        <f>DATE(YEAR(Q172+1),12,31)</f>
        <v>43100</v>
      </c>
      <c r="S172" s="661">
        <f t="shared" ref="S172" si="298">DATE(YEAR(R172+1),12,31)</f>
        <v>43465</v>
      </c>
      <c r="T172" s="661">
        <f>DATE(YEAR(S172+1),12,31)</f>
        <v>43830</v>
      </c>
      <c r="U172" s="661">
        <f t="shared" ref="U172:BI172" si="299">DATE(YEAR(T172+1),12,31)</f>
        <v>44196</v>
      </c>
      <c r="V172" s="661">
        <f t="shared" si="299"/>
        <v>44561</v>
      </c>
      <c r="W172" s="661">
        <f t="shared" si="299"/>
        <v>44926</v>
      </c>
      <c r="X172" s="661">
        <f t="shared" si="299"/>
        <v>45291</v>
      </c>
      <c r="Y172" s="661">
        <f t="shared" si="299"/>
        <v>45657</v>
      </c>
      <c r="Z172" s="661">
        <f t="shared" si="299"/>
        <v>46022</v>
      </c>
      <c r="AA172" s="661">
        <f t="shared" si="299"/>
        <v>46387</v>
      </c>
      <c r="AB172" s="661">
        <f t="shared" si="299"/>
        <v>46752</v>
      </c>
      <c r="AC172" s="661">
        <f t="shared" si="299"/>
        <v>47118</v>
      </c>
      <c r="AD172" s="661">
        <f t="shared" si="299"/>
        <v>47483</v>
      </c>
      <c r="AE172" s="661">
        <f t="shared" si="299"/>
        <v>47848</v>
      </c>
      <c r="AF172" s="661">
        <f t="shared" si="299"/>
        <v>48213</v>
      </c>
      <c r="AG172" s="661">
        <f t="shared" si="299"/>
        <v>48579</v>
      </c>
      <c r="AH172" s="661">
        <f t="shared" si="299"/>
        <v>48944</v>
      </c>
      <c r="AI172" s="661">
        <f t="shared" si="299"/>
        <v>49309</v>
      </c>
      <c r="AJ172" s="661">
        <f t="shared" si="299"/>
        <v>49674</v>
      </c>
      <c r="AK172" s="661">
        <f t="shared" si="299"/>
        <v>50040</v>
      </c>
      <c r="AL172" s="661">
        <f t="shared" si="299"/>
        <v>50405</v>
      </c>
      <c r="AM172" s="661">
        <f t="shared" si="299"/>
        <v>50770</v>
      </c>
      <c r="AN172" s="661">
        <f t="shared" si="299"/>
        <v>51135</v>
      </c>
      <c r="AO172" s="661">
        <f t="shared" si="299"/>
        <v>51501</v>
      </c>
      <c r="AP172" s="661">
        <f t="shared" si="299"/>
        <v>51866</v>
      </c>
      <c r="AQ172" s="661">
        <f t="shared" si="299"/>
        <v>52231</v>
      </c>
      <c r="AR172" s="661">
        <f t="shared" si="299"/>
        <v>52596</v>
      </c>
      <c r="AS172" s="661">
        <f t="shared" si="299"/>
        <v>52962</v>
      </c>
      <c r="AT172" s="661">
        <f t="shared" si="299"/>
        <v>53327</v>
      </c>
      <c r="AU172" s="661">
        <f t="shared" si="299"/>
        <v>53692</v>
      </c>
      <c r="AV172" s="661">
        <f t="shared" si="299"/>
        <v>54057</v>
      </c>
      <c r="AW172" s="661">
        <f t="shared" si="299"/>
        <v>54423</v>
      </c>
      <c r="AX172" s="661">
        <f t="shared" si="299"/>
        <v>54788</v>
      </c>
      <c r="AY172" s="661">
        <f t="shared" si="299"/>
        <v>55153</v>
      </c>
      <c r="AZ172" s="661">
        <f t="shared" si="299"/>
        <v>55518</v>
      </c>
      <c r="BA172" s="661">
        <f t="shared" si="299"/>
        <v>55884</v>
      </c>
      <c r="BB172" s="661">
        <f t="shared" si="299"/>
        <v>56249</v>
      </c>
      <c r="BC172" s="661">
        <f t="shared" si="299"/>
        <v>56614</v>
      </c>
      <c r="BD172" s="661">
        <f t="shared" si="299"/>
        <v>56979</v>
      </c>
      <c r="BE172" s="661">
        <f t="shared" si="299"/>
        <v>57345</v>
      </c>
      <c r="BF172" s="661">
        <f t="shared" si="299"/>
        <v>57710</v>
      </c>
      <c r="BG172" s="661">
        <f t="shared" si="299"/>
        <v>58075</v>
      </c>
      <c r="BH172" s="661">
        <f t="shared" si="299"/>
        <v>58440</v>
      </c>
      <c r="BI172" s="661">
        <f t="shared" si="299"/>
        <v>58806</v>
      </c>
    </row>
    <row r="173" spans="1:61">
      <c r="A173" s="8" t="s">
        <v>475</v>
      </c>
      <c r="B173" s="110" t="s">
        <v>490</v>
      </c>
      <c r="C173" s="13"/>
      <c r="D173" s="13"/>
      <c r="E173" s="13"/>
      <c r="F173" s="13"/>
      <c r="G173" s="13"/>
      <c r="H173" s="13"/>
      <c r="I173" s="13"/>
      <c r="J173" s="13"/>
      <c r="K173" s="13"/>
      <c r="L173" s="13"/>
      <c r="M173" s="13"/>
      <c r="N173" s="13"/>
      <c r="O173" s="13"/>
      <c r="P173" s="13"/>
      <c r="Q173" s="78"/>
      <c r="R173" s="78"/>
      <c r="S173" s="78"/>
      <c r="T173" s="10">
        <f t="shared" ref="T173:BI173" si="300">T$9*(T158*10^-6)</f>
        <v>8.2502133668312227E-3</v>
      </c>
      <c r="U173" s="10">
        <f t="shared" si="300"/>
        <v>8.4576278093200855E-3</v>
      </c>
      <c r="V173" s="10">
        <f t="shared" si="300"/>
        <v>1.0684727367168542E-2</v>
      </c>
      <c r="W173" s="10">
        <f t="shared" si="300"/>
        <v>1.4240328016141649E-2</v>
      </c>
      <c r="X173" s="10">
        <f t="shared" si="300"/>
        <v>1.8069055241429818E-2</v>
      </c>
      <c r="Y173" s="10">
        <f t="shared" si="300"/>
        <v>2.0232777006701532E-2</v>
      </c>
      <c r="Z173" s="10">
        <f t="shared" si="300"/>
        <v>2.2091966537899708E-2</v>
      </c>
      <c r="AA173" s="10">
        <f t="shared" si="300"/>
        <v>2.3855369689536693E-2</v>
      </c>
      <c r="AB173" s="10">
        <f t="shared" si="300"/>
        <v>2.5522986461612492E-2</v>
      </c>
      <c r="AC173" s="10">
        <f t="shared" si="300"/>
        <v>2.70948168541271E-2</v>
      </c>
      <c r="AD173" s="10">
        <f t="shared" si="300"/>
        <v>2.8570860867080508E-2</v>
      </c>
      <c r="AE173" s="10">
        <f t="shared" si="300"/>
        <v>2.9250898156647411E-2</v>
      </c>
      <c r="AF173" s="10">
        <f t="shared" si="300"/>
        <v>3.096515921262254E-2</v>
      </c>
      <c r="AG173" s="10">
        <f t="shared" si="300"/>
        <v>3.2364805109950608E-2</v>
      </c>
      <c r="AH173" s="10">
        <f t="shared" si="300"/>
        <v>3.34498358486316E-2</v>
      </c>
      <c r="AI173" s="10">
        <f t="shared" si="300"/>
        <v>3.4220251428665527E-2</v>
      </c>
      <c r="AJ173" s="10">
        <f t="shared" si="300"/>
        <v>3.5659902445929349E-2</v>
      </c>
      <c r="AK173" s="10">
        <f t="shared" si="300"/>
        <v>3.683786894603884E-2</v>
      </c>
      <c r="AL173" s="10">
        <f t="shared" si="300"/>
        <v>3.7848682010288653E-2</v>
      </c>
      <c r="AM173" s="10">
        <f t="shared" si="300"/>
        <v>3.8692341638678789E-2</v>
      </c>
      <c r="AN173" s="10">
        <f t="shared" si="300"/>
        <v>3.936884783120926E-2</v>
      </c>
      <c r="AO173" s="10">
        <f t="shared" si="300"/>
        <v>4.1503303436515787E-2</v>
      </c>
      <c r="AP173" s="10">
        <f t="shared" si="300"/>
        <v>4.3637759041822315E-2</v>
      </c>
      <c r="AQ173" s="10">
        <f t="shared" si="300"/>
        <v>4.5772214647128842E-2</v>
      </c>
      <c r="AR173" s="10">
        <f t="shared" si="300"/>
        <v>4.790667025243537E-2</v>
      </c>
      <c r="AS173" s="10">
        <f t="shared" si="300"/>
        <v>5.0041125857741897E-2</v>
      </c>
      <c r="AT173" s="10">
        <f t="shared" si="300"/>
        <v>5.2175581463048418E-2</v>
      </c>
      <c r="AU173" s="10">
        <f t="shared" si="300"/>
        <v>5.4389090979662602E-2</v>
      </c>
      <c r="AV173" s="10">
        <f t="shared" si="300"/>
        <v>5.660260049627678E-2</v>
      </c>
      <c r="AW173" s="10">
        <f t="shared" si="300"/>
        <v>5.8816110012890957E-2</v>
      </c>
      <c r="AX173" s="10">
        <f t="shared" si="300"/>
        <v>6.1029619529505121E-2</v>
      </c>
      <c r="AY173" s="10">
        <f t="shared" si="300"/>
        <v>6.3243129046119298E-2</v>
      </c>
      <c r="AZ173" s="10">
        <f t="shared" si="300"/>
        <v>6.3243129046119298E-2</v>
      </c>
      <c r="BA173" s="10">
        <f t="shared" si="300"/>
        <v>6.3243129046119298E-2</v>
      </c>
      <c r="BB173" s="10">
        <f t="shared" si="300"/>
        <v>6.3243129046119298E-2</v>
      </c>
      <c r="BC173" s="10">
        <f t="shared" si="300"/>
        <v>6.3243129046119298E-2</v>
      </c>
      <c r="BD173" s="10">
        <f t="shared" si="300"/>
        <v>6.3243129046119298E-2</v>
      </c>
      <c r="BE173" s="10">
        <f t="shared" si="300"/>
        <v>6.3243129046119298E-2</v>
      </c>
      <c r="BF173" s="10">
        <f t="shared" si="300"/>
        <v>6.3243129046119298E-2</v>
      </c>
      <c r="BG173" s="10">
        <f t="shared" si="300"/>
        <v>6.3243129046119298E-2</v>
      </c>
      <c r="BH173" s="10">
        <f t="shared" si="300"/>
        <v>6.3243129046119298E-2</v>
      </c>
      <c r="BI173" s="10">
        <f t="shared" si="300"/>
        <v>6.3243129046119298E-2</v>
      </c>
    </row>
    <row r="174" spans="1:61">
      <c r="A174" s="8" t="s">
        <v>477</v>
      </c>
      <c r="B174" s="110" t="s">
        <v>490</v>
      </c>
      <c r="C174" s="13"/>
      <c r="D174" s="13"/>
      <c r="E174" s="13"/>
      <c r="F174" s="13"/>
      <c r="G174" s="13"/>
      <c r="H174" s="13"/>
      <c r="I174" s="13"/>
      <c r="J174" s="13"/>
      <c r="K174" s="13"/>
      <c r="L174" s="13"/>
      <c r="M174" s="13"/>
      <c r="N174" s="13"/>
      <c r="O174" s="13"/>
      <c r="P174" s="13"/>
      <c r="Q174" s="78"/>
      <c r="R174" s="78"/>
      <c r="S174" s="78"/>
      <c r="T174" s="10">
        <f t="shared" ref="T174:BI174" si="301">T$9*(T159*10^-6)</f>
        <v>8.2502133668312227E-3</v>
      </c>
      <c r="U174" s="10">
        <f t="shared" si="301"/>
        <v>8.4576278093200855E-3</v>
      </c>
      <c r="V174" s="10">
        <f t="shared" si="301"/>
        <v>1.0684727367168542E-2</v>
      </c>
      <c r="W174" s="10">
        <f t="shared" si="301"/>
        <v>1.4240328016141649E-2</v>
      </c>
      <c r="X174" s="10">
        <f t="shared" si="301"/>
        <v>1.8069055241429818E-2</v>
      </c>
      <c r="Y174" s="10">
        <f t="shared" si="301"/>
        <v>2.0232777006701532E-2</v>
      </c>
      <c r="Z174" s="10">
        <f t="shared" si="301"/>
        <v>2.2091966537899708E-2</v>
      </c>
      <c r="AA174" s="10">
        <f t="shared" si="301"/>
        <v>2.3855369689536693E-2</v>
      </c>
      <c r="AB174" s="10">
        <f t="shared" si="301"/>
        <v>2.5522986461612492E-2</v>
      </c>
      <c r="AC174" s="10">
        <f t="shared" si="301"/>
        <v>2.70948168541271E-2</v>
      </c>
      <c r="AD174" s="10">
        <f t="shared" si="301"/>
        <v>2.8570860867080508E-2</v>
      </c>
      <c r="AE174" s="10">
        <f t="shared" si="301"/>
        <v>2.9250898156647411E-2</v>
      </c>
      <c r="AF174" s="10">
        <f t="shared" si="301"/>
        <v>3.096515921262254E-2</v>
      </c>
      <c r="AG174" s="10">
        <f t="shared" si="301"/>
        <v>3.2364805109950608E-2</v>
      </c>
      <c r="AH174" s="10">
        <f t="shared" si="301"/>
        <v>3.34498358486316E-2</v>
      </c>
      <c r="AI174" s="10">
        <f t="shared" si="301"/>
        <v>3.4220251428665527E-2</v>
      </c>
      <c r="AJ174" s="10">
        <f t="shared" si="301"/>
        <v>3.5659902445929349E-2</v>
      </c>
      <c r="AK174" s="10">
        <f t="shared" si="301"/>
        <v>3.683786894603884E-2</v>
      </c>
      <c r="AL174" s="10">
        <f t="shared" si="301"/>
        <v>3.7848682010288653E-2</v>
      </c>
      <c r="AM174" s="10">
        <f t="shared" si="301"/>
        <v>3.8692341638678789E-2</v>
      </c>
      <c r="AN174" s="10">
        <f t="shared" si="301"/>
        <v>3.936884783120926E-2</v>
      </c>
      <c r="AO174" s="10">
        <f t="shared" si="301"/>
        <v>4.1503303436515787E-2</v>
      </c>
      <c r="AP174" s="10">
        <f t="shared" si="301"/>
        <v>4.3637759041822315E-2</v>
      </c>
      <c r="AQ174" s="10">
        <f t="shared" si="301"/>
        <v>4.5772214647128842E-2</v>
      </c>
      <c r="AR174" s="10">
        <f t="shared" si="301"/>
        <v>4.790667025243537E-2</v>
      </c>
      <c r="AS174" s="10">
        <f t="shared" si="301"/>
        <v>5.0041125857741897E-2</v>
      </c>
      <c r="AT174" s="10">
        <f t="shared" si="301"/>
        <v>5.2175581463048418E-2</v>
      </c>
      <c r="AU174" s="10">
        <f t="shared" si="301"/>
        <v>5.4389090979662602E-2</v>
      </c>
      <c r="AV174" s="10">
        <f t="shared" si="301"/>
        <v>5.660260049627678E-2</v>
      </c>
      <c r="AW174" s="10">
        <f t="shared" si="301"/>
        <v>5.8816110012890957E-2</v>
      </c>
      <c r="AX174" s="10">
        <f t="shared" si="301"/>
        <v>6.1029619529505121E-2</v>
      </c>
      <c r="AY174" s="10">
        <f t="shared" si="301"/>
        <v>6.3243129046119298E-2</v>
      </c>
      <c r="AZ174" s="10">
        <f t="shared" si="301"/>
        <v>6.3243129046119298E-2</v>
      </c>
      <c r="BA174" s="10">
        <f t="shared" si="301"/>
        <v>6.3243129046119298E-2</v>
      </c>
      <c r="BB174" s="10">
        <f t="shared" si="301"/>
        <v>6.3243129046119298E-2</v>
      </c>
      <c r="BC174" s="10">
        <f t="shared" si="301"/>
        <v>6.3243129046119298E-2</v>
      </c>
      <c r="BD174" s="10">
        <f t="shared" si="301"/>
        <v>6.3243129046119298E-2</v>
      </c>
      <c r="BE174" s="10">
        <f t="shared" si="301"/>
        <v>6.3243129046119298E-2</v>
      </c>
      <c r="BF174" s="10">
        <f t="shared" si="301"/>
        <v>6.3243129046119298E-2</v>
      </c>
      <c r="BG174" s="10">
        <f t="shared" si="301"/>
        <v>6.3243129046119298E-2</v>
      </c>
      <c r="BH174" s="10">
        <f t="shared" si="301"/>
        <v>6.3243129046119298E-2</v>
      </c>
      <c r="BI174" s="10">
        <f t="shared" si="301"/>
        <v>6.3243129046119298E-2</v>
      </c>
    </row>
    <row r="175" spans="1:61">
      <c r="A175" s="8" t="s">
        <v>478</v>
      </c>
      <c r="B175" s="110" t="s">
        <v>490</v>
      </c>
      <c r="C175" s="13"/>
      <c r="D175" s="13"/>
      <c r="E175" s="13"/>
      <c r="F175" s="13"/>
      <c r="G175" s="13"/>
      <c r="H175" s="13"/>
      <c r="I175" s="13"/>
      <c r="J175" s="13"/>
      <c r="K175" s="13"/>
      <c r="L175" s="13"/>
      <c r="M175" s="13"/>
      <c r="N175" s="13"/>
      <c r="O175" s="13"/>
      <c r="P175" s="13"/>
      <c r="Q175" s="78"/>
      <c r="R175" s="78"/>
      <c r="S175" s="78"/>
      <c r="T175" s="10">
        <f t="shared" ref="T175:BI175" si="302">T$9*(T160*10^-6)</f>
        <v>9.1514971800144649E-3</v>
      </c>
      <c r="U175" s="10">
        <f t="shared" si="302"/>
        <v>9.3815703431113558E-3</v>
      </c>
      <c r="V175" s="10">
        <f t="shared" si="302"/>
        <v>1.1851966491313006E-2</v>
      </c>
      <c r="W175" s="10">
        <f t="shared" si="302"/>
        <v>1.5795994101938635E-2</v>
      </c>
      <c r="X175" s="10">
        <f t="shared" si="302"/>
        <v>2.0042985645955767E-2</v>
      </c>
      <c r="Y175" s="10">
        <f t="shared" si="302"/>
        <v>2.2443080377181533E-2</v>
      </c>
      <c r="Z175" s="10">
        <f t="shared" si="302"/>
        <v>2.4505374647082034E-2</v>
      </c>
      <c r="AA175" s="10">
        <f t="shared" si="302"/>
        <v>2.6461418479149949E-2</v>
      </c>
      <c r="AB175" s="10">
        <f t="shared" si="302"/>
        <v>2.831121187338529E-2</v>
      </c>
      <c r="AC175" s="10">
        <f t="shared" si="302"/>
        <v>3.0054754829788043E-2</v>
      </c>
      <c r="AD175" s="10">
        <f t="shared" si="302"/>
        <v>3.1692047348358218E-2</v>
      </c>
      <c r="AE175" s="10">
        <f t="shared" si="302"/>
        <v>3.2446374425860992E-2</v>
      </c>
      <c r="AF175" s="10">
        <f t="shared" si="302"/>
        <v>3.4347907698035092E-2</v>
      </c>
      <c r="AG175" s="10">
        <f t="shared" si="302"/>
        <v>3.5900456088348583E-2</v>
      </c>
      <c r="AH175" s="10">
        <f t="shared" si="302"/>
        <v>3.7104019596801437E-2</v>
      </c>
      <c r="AI175" s="10">
        <f t="shared" si="302"/>
        <v>3.7958598223393696E-2</v>
      </c>
      <c r="AJ175" s="10">
        <f t="shared" si="302"/>
        <v>3.9555522040862809E-2</v>
      </c>
      <c r="AK175" s="10">
        <f t="shared" si="302"/>
        <v>4.0862173956950645E-2</v>
      </c>
      <c r="AL175" s="10">
        <f t="shared" si="302"/>
        <v>4.198341197779918E-2</v>
      </c>
      <c r="AM175" s="10">
        <f t="shared" si="302"/>
        <v>4.2919236103408406E-2</v>
      </c>
      <c r="AN175" s="10">
        <f t="shared" si="302"/>
        <v>4.3669646333778345E-2</v>
      </c>
      <c r="AO175" s="10">
        <f t="shared" si="302"/>
        <v>4.6037277761513312E-2</v>
      </c>
      <c r="AP175" s="10">
        <f t="shared" si="302"/>
        <v>4.840490918924828E-2</v>
      </c>
      <c r="AQ175" s="10">
        <f t="shared" si="302"/>
        <v>5.0772540616983254E-2</v>
      </c>
      <c r="AR175" s="10">
        <f t="shared" si="302"/>
        <v>5.3140172044718229E-2</v>
      </c>
      <c r="AS175" s="10">
        <f t="shared" si="302"/>
        <v>5.5507803472453196E-2</v>
      </c>
      <c r="AT175" s="10">
        <f t="shared" si="302"/>
        <v>5.7875434900188164E-2</v>
      </c>
      <c r="AU175" s="10">
        <f t="shared" si="302"/>
        <v>6.0330756380802208E-2</v>
      </c>
      <c r="AV175" s="10">
        <f t="shared" si="302"/>
        <v>6.2786077861416253E-2</v>
      </c>
      <c r="AW175" s="10">
        <f t="shared" si="302"/>
        <v>6.5241399342030298E-2</v>
      </c>
      <c r="AX175" s="10">
        <f t="shared" si="302"/>
        <v>6.7696720822644343E-2</v>
      </c>
      <c r="AY175" s="10">
        <f t="shared" si="302"/>
        <v>7.0152042303258388E-2</v>
      </c>
      <c r="AZ175" s="10">
        <f t="shared" si="302"/>
        <v>7.0152042303258388E-2</v>
      </c>
      <c r="BA175" s="10">
        <f t="shared" si="302"/>
        <v>7.0152042303258388E-2</v>
      </c>
      <c r="BB175" s="10">
        <f t="shared" si="302"/>
        <v>7.0152042303258388E-2</v>
      </c>
      <c r="BC175" s="10">
        <f t="shared" si="302"/>
        <v>7.0152042303258388E-2</v>
      </c>
      <c r="BD175" s="10">
        <f t="shared" si="302"/>
        <v>7.0152042303258388E-2</v>
      </c>
      <c r="BE175" s="10">
        <f t="shared" si="302"/>
        <v>7.0152042303258388E-2</v>
      </c>
      <c r="BF175" s="10">
        <f t="shared" si="302"/>
        <v>7.0152042303258388E-2</v>
      </c>
      <c r="BG175" s="10">
        <f t="shared" si="302"/>
        <v>7.0152042303258388E-2</v>
      </c>
      <c r="BH175" s="10">
        <f t="shared" si="302"/>
        <v>7.0152042303258388E-2</v>
      </c>
      <c r="BI175" s="10">
        <f t="shared" si="302"/>
        <v>7.0152042303258388E-2</v>
      </c>
    </row>
    <row r="176" spans="1:61">
      <c r="A176" s="8" t="s">
        <v>271</v>
      </c>
      <c r="B176" s="110" t="s">
        <v>490</v>
      </c>
      <c r="C176" s="13"/>
      <c r="D176" s="13"/>
      <c r="E176" s="13"/>
      <c r="F176" s="13"/>
      <c r="G176" s="13"/>
      <c r="H176" s="13"/>
      <c r="I176" s="13"/>
      <c r="J176" s="13"/>
      <c r="K176" s="13"/>
      <c r="L176" s="13"/>
      <c r="M176" s="13"/>
      <c r="N176" s="13"/>
      <c r="O176" s="13"/>
      <c r="P176" s="13"/>
      <c r="Q176" s="78"/>
      <c r="R176" s="78"/>
      <c r="S176" s="78"/>
      <c r="T176" s="10">
        <f t="shared" ref="T176:BI176" si="303">T$9*(T161*10^-6)</f>
        <v>4.2291009695521395E-3</v>
      </c>
      <c r="U176" s="10">
        <f t="shared" si="303"/>
        <v>4.3354226585590357E-3</v>
      </c>
      <c r="V176" s="10">
        <f t="shared" si="303"/>
        <v>5.4770451209855556E-3</v>
      </c>
      <c r="W176" s="10">
        <f t="shared" si="303"/>
        <v>7.2996639410474002E-3</v>
      </c>
      <c r="X176" s="10">
        <f t="shared" si="303"/>
        <v>9.2622888212371361E-3</v>
      </c>
      <c r="Y176" s="10">
        <f t="shared" si="303"/>
        <v>1.0371423507636921E-2</v>
      </c>
      <c r="Z176" s="10">
        <f t="shared" si="303"/>
        <v>1.1324453435393971E-2</v>
      </c>
      <c r="AA176" s="10">
        <f t="shared" si="303"/>
        <v>1.2228382782031418E-2</v>
      </c>
      <c r="AB176" s="10">
        <f t="shared" si="303"/>
        <v>1.3083211547549264E-2</v>
      </c>
      <c r="AC176" s="10">
        <f t="shared" si="303"/>
        <v>1.3888939731947506E-2</v>
      </c>
      <c r="AD176" s="10">
        <f t="shared" si="303"/>
        <v>1.4645567335226147E-2</v>
      </c>
      <c r="AE176" s="10">
        <f t="shared" si="303"/>
        <v>1.4994157878617584E-2</v>
      </c>
      <c r="AF176" s="10">
        <f t="shared" si="303"/>
        <v>1.5872896739243487E-2</v>
      </c>
      <c r="AG176" s="10">
        <f t="shared" si="303"/>
        <v>1.6590362283251996E-2</v>
      </c>
      <c r="AH176" s="10">
        <f t="shared" si="303"/>
        <v>1.7146554510643095E-2</v>
      </c>
      <c r="AI176" s="10">
        <f t="shared" si="303"/>
        <v>1.7541473421416782E-2</v>
      </c>
      <c r="AJ176" s="10">
        <f t="shared" si="303"/>
        <v>1.8279445791610845E-2</v>
      </c>
      <c r="AK176" s="10">
        <f t="shared" si="303"/>
        <v>1.8883277358893863E-2</v>
      </c>
      <c r="AL176" s="10">
        <f t="shared" si="303"/>
        <v>1.9401425232164773E-2</v>
      </c>
      <c r="AM176" s="10">
        <f t="shared" si="303"/>
        <v>1.9833889411423583E-2</v>
      </c>
      <c r="AN176" s="10">
        <f t="shared" si="303"/>
        <v>2.0180669896670299E-2</v>
      </c>
      <c r="AO176" s="10">
        <f t="shared" si="303"/>
        <v>2.1274802601911457E-2</v>
      </c>
      <c r="AP176" s="10">
        <f t="shared" si="303"/>
        <v>2.2368935307152619E-2</v>
      </c>
      <c r="AQ176" s="10">
        <f t="shared" si="303"/>
        <v>2.3463068012393781E-2</v>
      </c>
      <c r="AR176" s="10">
        <f t="shared" si="303"/>
        <v>2.4557200717634942E-2</v>
      </c>
      <c r="AS176" s="10">
        <f t="shared" si="303"/>
        <v>2.5651333422876101E-2</v>
      </c>
      <c r="AT176" s="10">
        <f t="shared" si="303"/>
        <v>2.6745466128117262E-2</v>
      </c>
      <c r="AU176" s="10">
        <f t="shared" si="303"/>
        <v>2.7880122266885875E-2</v>
      </c>
      <c r="AV176" s="10">
        <f t="shared" si="303"/>
        <v>2.9014778405654487E-2</v>
      </c>
      <c r="AW176" s="10">
        <f t="shared" si="303"/>
        <v>3.01494345444231E-2</v>
      </c>
      <c r="AX176" s="10">
        <f t="shared" si="303"/>
        <v>3.1284090683191705E-2</v>
      </c>
      <c r="AY176" s="10">
        <f t="shared" si="303"/>
        <v>3.2418746821960318E-2</v>
      </c>
      <c r="AZ176" s="10">
        <f t="shared" si="303"/>
        <v>3.2418746821960318E-2</v>
      </c>
      <c r="BA176" s="10">
        <f t="shared" si="303"/>
        <v>3.2418746821960318E-2</v>
      </c>
      <c r="BB176" s="10">
        <f t="shared" si="303"/>
        <v>3.2418746821960318E-2</v>
      </c>
      <c r="BC176" s="10">
        <f t="shared" si="303"/>
        <v>3.2418746821960318E-2</v>
      </c>
      <c r="BD176" s="10">
        <f t="shared" si="303"/>
        <v>3.2418746821960318E-2</v>
      </c>
      <c r="BE176" s="10">
        <f t="shared" si="303"/>
        <v>3.2418746821960318E-2</v>
      </c>
      <c r="BF176" s="10">
        <f t="shared" si="303"/>
        <v>3.2418746821960318E-2</v>
      </c>
      <c r="BG176" s="10">
        <f t="shared" si="303"/>
        <v>3.2418746821960318E-2</v>
      </c>
      <c r="BH176" s="10">
        <f t="shared" si="303"/>
        <v>3.2418746821960318E-2</v>
      </c>
      <c r="BI176" s="10">
        <f t="shared" si="303"/>
        <v>3.2418746821960318E-2</v>
      </c>
    </row>
    <row r="177" spans="1:61">
      <c r="A177" s="757" t="s">
        <v>484</v>
      </c>
      <c r="B177" s="663" t="s">
        <v>309</v>
      </c>
      <c r="C177" s="649"/>
      <c r="D177" s="649"/>
      <c r="E177" s="649"/>
      <c r="F177" s="649"/>
      <c r="G177" s="649"/>
      <c r="H177" s="649"/>
      <c r="I177" s="649"/>
      <c r="J177" s="649"/>
      <c r="K177" s="649"/>
      <c r="L177" s="649"/>
      <c r="M177" s="649"/>
      <c r="N177" s="649"/>
      <c r="O177" s="649"/>
      <c r="P177" s="652"/>
      <c r="Q177" s="6"/>
      <c r="R177" s="6"/>
      <c r="S177" s="6"/>
      <c r="T177" s="6">
        <v>2020</v>
      </c>
      <c r="U177" s="6">
        <f>T177+1</f>
        <v>2021</v>
      </c>
      <c r="V177" s="6">
        <f t="shared" ref="V177" si="304">U177+1</f>
        <v>2022</v>
      </c>
      <c r="W177" s="6">
        <f t="shared" ref="W177" si="305">V177+1</f>
        <v>2023</v>
      </c>
      <c r="X177" s="6">
        <f t="shared" ref="X177" si="306">W177+1</f>
        <v>2024</v>
      </c>
      <c r="Y177" s="6">
        <f t="shared" ref="Y177" si="307">X177+1</f>
        <v>2025</v>
      </c>
      <c r="Z177" s="6">
        <f t="shared" ref="Z177" si="308">Y177+1</f>
        <v>2026</v>
      </c>
      <c r="AA177" s="6">
        <f t="shared" ref="AA177" si="309">Z177+1</f>
        <v>2027</v>
      </c>
      <c r="AB177" s="6">
        <f t="shared" ref="AB177" si="310">AA177+1</f>
        <v>2028</v>
      </c>
      <c r="AC177" s="6">
        <f t="shared" ref="AC177" si="311">AB177+1</f>
        <v>2029</v>
      </c>
      <c r="AD177" s="6">
        <f t="shared" ref="AD177" si="312">AC177+1</f>
        <v>2030</v>
      </c>
      <c r="AE177" s="6">
        <f t="shared" ref="AE177" si="313">AD177+1</f>
        <v>2031</v>
      </c>
      <c r="AF177" s="6">
        <f t="shared" ref="AF177" si="314">AE177+1</f>
        <v>2032</v>
      </c>
      <c r="AG177" s="6">
        <f t="shared" ref="AG177" si="315">AF177+1</f>
        <v>2033</v>
      </c>
      <c r="AH177" s="6">
        <f t="shared" ref="AH177" si="316">AG177+1</f>
        <v>2034</v>
      </c>
      <c r="AI177" s="6">
        <f t="shared" ref="AI177" si="317">AH177+1</f>
        <v>2035</v>
      </c>
      <c r="AJ177" s="6">
        <f t="shared" ref="AJ177" si="318">AI177+1</f>
        <v>2036</v>
      </c>
      <c r="AK177" s="6">
        <f t="shared" ref="AK177" si="319">AJ177+1</f>
        <v>2037</v>
      </c>
      <c r="AL177" s="6">
        <f t="shared" ref="AL177" si="320">AK177+1</f>
        <v>2038</v>
      </c>
      <c r="AM177" s="6">
        <f t="shared" ref="AM177" si="321">AL177+1</f>
        <v>2039</v>
      </c>
      <c r="AN177" s="6">
        <f t="shared" ref="AN177" si="322">AM177+1</f>
        <v>2040</v>
      </c>
      <c r="AO177" s="6">
        <f t="shared" ref="AO177" si="323">AN177+1</f>
        <v>2041</v>
      </c>
      <c r="AP177" s="6">
        <f t="shared" ref="AP177" si="324">AO177+1</f>
        <v>2042</v>
      </c>
      <c r="AQ177" s="6">
        <f t="shared" ref="AQ177" si="325">AP177+1</f>
        <v>2043</v>
      </c>
      <c r="AR177" s="6">
        <f t="shared" ref="AR177" si="326">AQ177+1</f>
        <v>2044</v>
      </c>
      <c r="AS177" s="6">
        <f t="shared" ref="AS177" si="327">AR177+1</f>
        <v>2045</v>
      </c>
      <c r="AT177" s="6">
        <f t="shared" ref="AT177" si="328">AS177+1</f>
        <v>2046</v>
      </c>
      <c r="AU177" s="6">
        <f t="shared" ref="AU177" si="329">AT177+1</f>
        <v>2047</v>
      </c>
      <c r="AV177" s="6">
        <f t="shared" ref="AV177" si="330">AU177+1</f>
        <v>2048</v>
      </c>
      <c r="AW177" s="6">
        <f t="shared" ref="AW177" si="331">AV177+1</f>
        <v>2049</v>
      </c>
      <c r="AX177" s="6">
        <f t="shared" ref="AX177" si="332">AW177+1</f>
        <v>2050</v>
      </c>
      <c r="AY177" s="6">
        <f t="shared" ref="AY177" si="333">AX177+1</f>
        <v>2051</v>
      </c>
      <c r="AZ177" s="6">
        <f t="shared" ref="AZ177" si="334">AY177+1</f>
        <v>2052</v>
      </c>
      <c r="BA177" s="6">
        <f t="shared" ref="BA177" si="335">AZ177+1</f>
        <v>2053</v>
      </c>
      <c r="BB177" s="6">
        <f t="shared" ref="BB177" si="336">BA177+1</f>
        <v>2054</v>
      </c>
      <c r="BC177" s="6">
        <f t="shared" ref="BC177" si="337">BB177+1</f>
        <v>2055</v>
      </c>
      <c r="BD177" s="6">
        <f t="shared" ref="BD177" si="338">BC177+1</f>
        <v>2056</v>
      </c>
      <c r="BE177" s="6">
        <f t="shared" ref="BE177" si="339">BD177+1</f>
        <v>2057</v>
      </c>
      <c r="BF177" s="6">
        <f t="shared" ref="BF177" si="340">BE177+1</f>
        <v>2058</v>
      </c>
      <c r="BG177" s="6">
        <f t="shared" ref="BG177" si="341">BF177+1</f>
        <v>2059</v>
      </c>
      <c r="BH177" s="6">
        <f t="shared" ref="BH177" si="342">BG177+1</f>
        <v>2060</v>
      </c>
      <c r="BI177" s="6">
        <f t="shared" ref="BI177" si="343">BH177+1</f>
        <v>2061</v>
      </c>
    </row>
    <row r="178" spans="1:61">
      <c r="A178" s="758"/>
      <c r="B178" s="664" t="s">
        <v>510</v>
      </c>
      <c r="C178" s="659"/>
      <c r="D178" s="659"/>
      <c r="E178" s="659"/>
      <c r="F178" s="659"/>
      <c r="G178" s="659"/>
      <c r="H178" s="659"/>
      <c r="I178" s="659"/>
      <c r="J178" s="659"/>
      <c r="K178" s="659"/>
      <c r="L178" s="659"/>
      <c r="M178" s="659"/>
      <c r="N178" s="659"/>
      <c r="O178" s="659"/>
      <c r="P178" s="665"/>
      <c r="Q178" s="661">
        <f>DATE(2016,12,31)</f>
        <v>42735</v>
      </c>
      <c r="R178" s="661">
        <f>DATE(YEAR(Q178+1),12,31)</f>
        <v>43100</v>
      </c>
      <c r="S178" s="661">
        <f t="shared" ref="S178" si="344">DATE(YEAR(R178+1),12,31)</f>
        <v>43465</v>
      </c>
      <c r="T178" s="661">
        <f>DATE(YEAR(S178+1),12,31)</f>
        <v>43830</v>
      </c>
      <c r="U178" s="661">
        <f t="shared" ref="U178:BI178" si="345">DATE(YEAR(T178+1),12,31)</f>
        <v>44196</v>
      </c>
      <c r="V178" s="661">
        <f t="shared" si="345"/>
        <v>44561</v>
      </c>
      <c r="W178" s="661">
        <f t="shared" si="345"/>
        <v>44926</v>
      </c>
      <c r="X178" s="661">
        <f t="shared" si="345"/>
        <v>45291</v>
      </c>
      <c r="Y178" s="661">
        <f t="shared" si="345"/>
        <v>45657</v>
      </c>
      <c r="Z178" s="661">
        <f t="shared" si="345"/>
        <v>46022</v>
      </c>
      <c r="AA178" s="661">
        <f t="shared" si="345"/>
        <v>46387</v>
      </c>
      <c r="AB178" s="661">
        <f t="shared" si="345"/>
        <v>46752</v>
      </c>
      <c r="AC178" s="661">
        <f t="shared" si="345"/>
        <v>47118</v>
      </c>
      <c r="AD178" s="661">
        <f t="shared" si="345"/>
        <v>47483</v>
      </c>
      <c r="AE178" s="661">
        <f t="shared" si="345"/>
        <v>47848</v>
      </c>
      <c r="AF178" s="661">
        <f t="shared" si="345"/>
        <v>48213</v>
      </c>
      <c r="AG178" s="661">
        <f t="shared" si="345"/>
        <v>48579</v>
      </c>
      <c r="AH178" s="661">
        <f t="shared" si="345"/>
        <v>48944</v>
      </c>
      <c r="AI178" s="661">
        <f t="shared" si="345"/>
        <v>49309</v>
      </c>
      <c r="AJ178" s="661">
        <f t="shared" si="345"/>
        <v>49674</v>
      </c>
      <c r="AK178" s="661">
        <f t="shared" si="345"/>
        <v>50040</v>
      </c>
      <c r="AL178" s="661">
        <f t="shared" si="345"/>
        <v>50405</v>
      </c>
      <c r="AM178" s="661">
        <f t="shared" si="345"/>
        <v>50770</v>
      </c>
      <c r="AN178" s="661">
        <f t="shared" si="345"/>
        <v>51135</v>
      </c>
      <c r="AO178" s="661">
        <f t="shared" si="345"/>
        <v>51501</v>
      </c>
      <c r="AP178" s="661">
        <f t="shared" si="345"/>
        <v>51866</v>
      </c>
      <c r="AQ178" s="661">
        <f t="shared" si="345"/>
        <v>52231</v>
      </c>
      <c r="AR178" s="661">
        <f t="shared" si="345"/>
        <v>52596</v>
      </c>
      <c r="AS178" s="661">
        <f t="shared" si="345"/>
        <v>52962</v>
      </c>
      <c r="AT178" s="661">
        <f t="shared" si="345"/>
        <v>53327</v>
      </c>
      <c r="AU178" s="661">
        <f t="shared" si="345"/>
        <v>53692</v>
      </c>
      <c r="AV178" s="661">
        <f t="shared" si="345"/>
        <v>54057</v>
      </c>
      <c r="AW178" s="661">
        <f t="shared" si="345"/>
        <v>54423</v>
      </c>
      <c r="AX178" s="661">
        <f t="shared" si="345"/>
        <v>54788</v>
      </c>
      <c r="AY178" s="661">
        <f t="shared" si="345"/>
        <v>55153</v>
      </c>
      <c r="AZ178" s="661">
        <f t="shared" si="345"/>
        <v>55518</v>
      </c>
      <c r="BA178" s="661">
        <f t="shared" si="345"/>
        <v>55884</v>
      </c>
      <c r="BB178" s="661">
        <f t="shared" si="345"/>
        <v>56249</v>
      </c>
      <c r="BC178" s="661">
        <f t="shared" si="345"/>
        <v>56614</v>
      </c>
      <c r="BD178" s="661">
        <f t="shared" si="345"/>
        <v>56979</v>
      </c>
      <c r="BE178" s="661">
        <f t="shared" si="345"/>
        <v>57345</v>
      </c>
      <c r="BF178" s="661">
        <f t="shared" si="345"/>
        <v>57710</v>
      </c>
      <c r="BG178" s="661">
        <f t="shared" si="345"/>
        <v>58075</v>
      </c>
      <c r="BH178" s="661">
        <f t="shared" si="345"/>
        <v>58440</v>
      </c>
      <c r="BI178" s="661">
        <f t="shared" si="345"/>
        <v>58806</v>
      </c>
    </row>
    <row r="179" spans="1:61">
      <c r="A179" s="8" t="s">
        <v>475</v>
      </c>
      <c r="B179" s="110" t="s">
        <v>490</v>
      </c>
      <c r="C179" s="13"/>
      <c r="D179" s="13"/>
      <c r="E179" s="13"/>
      <c r="F179" s="13"/>
      <c r="G179" s="13"/>
      <c r="H179" s="13"/>
      <c r="I179" s="13"/>
      <c r="J179" s="13"/>
      <c r="K179" s="13"/>
      <c r="L179" s="13"/>
      <c r="M179" s="13"/>
      <c r="N179" s="13"/>
      <c r="O179" s="13"/>
      <c r="P179" s="13"/>
      <c r="Q179" s="78"/>
      <c r="R179" s="78"/>
      <c r="S179" s="78"/>
      <c r="T179" s="10">
        <f>T$9*(T164*10^-6)</f>
        <v>3.3843621066693669E-2</v>
      </c>
      <c r="U179" s="10">
        <f t="shared" ref="U179:BI179" si="346">U$9*(U164*10^-6)</f>
        <v>3.4994304182961254E-2</v>
      </c>
      <c r="V179" s="10">
        <f t="shared" si="346"/>
        <v>4.4594554106754385E-2</v>
      </c>
      <c r="W179" s="10">
        <f t="shared" si="346"/>
        <v>5.9957148127695675E-2</v>
      </c>
      <c r="X179" s="10">
        <f t="shared" si="346"/>
        <v>7.6752512761992464E-2</v>
      </c>
      <c r="Y179" s="10">
        <f t="shared" si="346"/>
        <v>8.6712762509731936E-2</v>
      </c>
      <c r="Z179" s="10">
        <f t="shared" si="346"/>
        <v>9.6673012257471422E-2</v>
      </c>
      <c r="AA179" s="10">
        <f t="shared" si="346"/>
        <v>0.10663326200521091</v>
      </c>
      <c r="AB179" s="10">
        <f t="shared" si="346"/>
        <v>0.11659351175295038</v>
      </c>
      <c r="AC179" s="10">
        <f t="shared" si="346"/>
        <v>0.12655376150068987</v>
      </c>
      <c r="AD179" s="10">
        <f t="shared" si="346"/>
        <v>0.13651401124842935</v>
      </c>
      <c r="AE179" s="10">
        <f t="shared" si="346"/>
        <v>0.14647426099616881</v>
      </c>
      <c r="AF179" s="10">
        <f t="shared" si="346"/>
        <v>0.16287937822773974</v>
      </c>
      <c r="AG179" s="10">
        <f t="shared" si="346"/>
        <v>0.17928449545931066</v>
      </c>
      <c r="AH179" s="10">
        <f t="shared" si="346"/>
        <v>0.19568961269088156</v>
      </c>
      <c r="AI179" s="10">
        <f t="shared" si="346"/>
        <v>0.21209472992245246</v>
      </c>
      <c r="AJ179" s="10">
        <f t="shared" si="346"/>
        <v>0.22849984715402338</v>
      </c>
      <c r="AK179" s="10">
        <f t="shared" si="346"/>
        <v>0.2443190673416096</v>
      </c>
      <c r="AL179" s="10">
        <f t="shared" si="346"/>
        <v>0.26013828752919582</v>
      </c>
      <c r="AM179" s="10">
        <f t="shared" si="346"/>
        <v>0.27595750771678207</v>
      </c>
      <c r="AN179" s="10">
        <f t="shared" si="346"/>
        <v>0.29177672790436826</v>
      </c>
      <c r="AO179" s="10">
        <f t="shared" si="346"/>
        <v>0.30759594809195451</v>
      </c>
      <c r="AP179" s="10">
        <f t="shared" si="346"/>
        <v>0.32341516827954075</v>
      </c>
      <c r="AQ179" s="10">
        <f t="shared" si="346"/>
        <v>0.339234388467127</v>
      </c>
      <c r="AR179" s="10">
        <f t="shared" si="346"/>
        <v>0.35505360865471325</v>
      </c>
      <c r="AS179" s="10">
        <f t="shared" si="346"/>
        <v>0.37087282884229944</v>
      </c>
      <c r="AT179" s="10">
        <f t="shared" si="346"/>
        <v>0.38669204902988569</v>
      </c>
      <c r="AU179" s="10">
        <f t="shared" si="346"/>
        <v>0.40309716626145664</v>
      </c>
      <c r="AV179" s="10">
        <f t="shared" si="346"/>
        <v>0.41950228349302754</v>
      </c>
      <c r="AW179" s="10">
        <f t="shared" si="346"/>
        <v>0.43590740072459849</v>
      </c>
      <c r="AX179" s="10">
        <f t="shared" si="346"/>
        <v>0.45231251795616934</v>
      </c>
      <c r="AY179" s="10">
        <f t="shared" si="346"/>
        <v>0.46871763518774023</v>
      </c>
      <c r="AZ179" s="10">
        <f t="shared" si="346"/>
        <v>0.46871763518774023</v>
      </c>
      <c r="BA179" s="10">
        <f t="shared" si="346"/>
        <v>0.46871763518774023</v>
      </c>
      <c r="BB179" s="10">
        <f t="shared" si="346"/>
        <v>0.46871763518774023</v>
      </c>
      <c r="BC179" s="10">
        <f t="shared" si="346"/>
        <v>0.46871763518774023</v>
      </c>
      <c r="BD179" s="10">
        <f t="shared" si="346"/>
        <v>0.46871763518774023</v>
      </c>
      <c r="BE179" s="10">
        <f t="shared" si="346"/>
        <v>0.46871763518774023</v>
      </c>
      <c r="BF179" s="10">
        <f t="shared" si="346"/>
        <v>0.46871763518774023</v>
      </c>
      <c r="BG179" s="10">
        <f t="shared" si="346"/>
        <v>0.46871763518774023</v>
      </c>
      <c r="BH179" s="10">
        <f t="shared" si="346"/>
        <v>0.46871763518774023</v>
      </c>
      <c r="BI179" s="10">
        <f t="shared" si="346"/>
        <v>0.46871763518774023</v>
      </c>
    </row>
    <row r="180" spans="1:61">
      <c r="A180" s="8" t="s">
        <v>477</v>
      </c>
      <c r="B180" s="110" t="s">
        <v>490</v>
      </c>
      <c r="C180" s="13"/>
      <c r="D180" s="13"/>
      <c r="E180" s="13"/>
      <c r="F180" s="13"/>
      <c r="G180" s="13"/>
      <c r="H180" s="13"/>
      <c r="I180" s="13"/>
      <c r="J180" s="13"/>
      <c r="K180" s="13"/>
      <c r="L180" s="13"/>
      <c r="M180" s="13"/>
      <c r="N180" s="13"/>
      <c r="O180" s="13"/>
      <c r="P180" s="13"/>
      <c r="Q180" s="78"/>
      <c r="R180" s="78"/>
      <c r="S180" s="78"/>
      <c r="T180" s="10">
        <f t="shared" ref="T180:BI180" si="347">T$9*(T165*10^-6)</f>
        <v>3.3843621066693669E-2</v>
      </c>
      <c r="U180" s="10">
        <f t="shared" si="347"/>
        <v>3.4994304182961254E-2</v>
      </c>
      <c r="V180" s="10">
        <f t="shared" si="347"/>
        <v>4.4594554106754385E-2</v>
      </c>
      <c r="W180" s="10">
        <f t="shared" si="347"/>
        <v>5.9957148127695675E-2</v>
      </c>
      <c r="X180" s="10">
        <f t="shared" si="347"/>
        <v>7.6752512761992464E-2</v>
      </c>
      <c r="Y180" s="10">
        <f t="shared" si="347"/>
        <v>8.6712762509731936E-2</v>
      </c>
      <c r="Z180" s="10">
        <f t="shared" si="347"/>
        <v>9.6673012257471422E-2</v>
      </c>
      <c r="AA180" s="10">
        <f t="shared" si="347"/>
        <v>0.10663326200521091</v>
      </c>
      <c r="AB180" s="10">
        <f t="shared" si="347"/>
        <v>0.11659351175295038</v>
      </c>
      <c r="AC180" s="10">
        <f t="shared" si="347"/>
        <v>0.12655376150068987</v>
      </c>
      <c r="AD180" s="10">
        <f t="shared" si="347"/>
        <v>0.13651401124842935</v>
      </c>
      <c r="AE180" s="10">
        <f t="shared" si="347"/>
        <v>0.14647426099616881</v>
      </c>
      <c r="AF180" s="10">
        <f t="shared" si="347"/>
        <v>0.16287937822773974</v>
      </c>
      <c r="AG180" s="10">
        <f t="shared" si="347"/>
        <v>0.17928449545931066</v>
      </c>
      <c r="AH180" s="10">
        <f t="shared" si="347"/>
        <v>0.19568961269088156</v>
      </c>
      <c r="AI180" s="10">
        <f t="shared" si="347"/>
        <v>0.21209472992245246</v>
      </c>
      <c r="AJ180" s="10">
        <f t="shared" si="347"/>
        <v>0.22849984715402338</v>
      </c>
      <c r="AK180" s="10">
        <f t="shared" si="347"/>
        <v>0.2443190673416096</v>
      </c>
      <c r="AL180" s="10">
        <f t="shared" si="347"/>
        <v>0.26013828752919582</v>
      </c>
      <c r="AM180" s="10">
        <f t="shared" si="347"/>
        <v>0.27595750771678207</v>
      </c>
      <c r="AN180" s="10">
        <f t="shared" si="347"/>
        <v>0.29177672790436826</v>
      </c>
      <c r="AO180" s="10">
        <f t="shared" si="347"/>
        <v>0.30759594809195451</v>
      </c>
      <c r="AP180" s="10">
        <f t="shared" si="347"/>
        <v>0.32341516827954075</v>
      </c>
      <c r="AQ180" s="10">
        <f t="shared" si="347"/>
        <v>0.339234388467127</v>
      </c>
      <c r="AR180" s="10">
        <f t="shared" si="347"/>
        <v>0.35505360865471325</v>
      </c>
      <c r="AS180" s="10">
        <f t="shared" si="347"/>
        <v>0.37087282884229944</v>
      </c>
      <c r="AT180" s="10">
        <f t="shared" si="347"/>
        <v>0.38669204902988569</v>
      </c>
      <c r="AU180" s="10">
        <f t="shared" si="347"/>
        <v>0.40309716626145664</v>
      </c>
      <c r="AV180" s="10">
        <f t="shared" si="347"/>
        <v>0.41950228349302754</v>
      </c>
      <c r="AW180" s="10">
        <f t="shared" si="347"/>
        <v>0.43590740072459849</v>
      </c>
      <c r="AX180" s="10">
        <f t="shared" si="347"/>
        <v>0.45231251795616934</v>
      </c>
      <c r="AY180" s="10">
        <f t="shared" si="347"/>
        <v>0.46871763518774023</v>
      </c>
      <c r="AZ180" s="10">
        <f t="shared" si="347"/>
        <v>0.46871763518774023</v>
      </c>
      <c r="BA180" s="10">
        <f t="shared" si="347"/>
        <v>0.46871763518774023</v>
      </c>
      <c r="BB180" s="10">
        <f t="shared" si="347"/>
        <v>0.46871763518774023</v>
      </c>
      <c r="BC180" s="10">
        <f t="shared" si="347"/>
        <v>0.46871763518774023</v>
      </c>
      <c r="BD180" s="10">
        <f t="shared" si="347"/>
        <v>0.46871763518774023</v>
      </c>
      <c r="BE180" s="10">
        <f t="shared" si="347"/>
        <v>0.46871763518774023</v>
      </c>
      <c r="BF180" s="10">
        <f t="shared" si="347"/>
        <v>0.46871763518774023</v>
      </c>
      <c r="BG180" s="10">
        <f t="shared" si="347"/>
        <v>0.46871763518774023</v>
      </c>
      <c r="BH180" s="10">
        <f t="shared" si="347"/>
        <v>0.46871763518774023</v>
      </c>
      <c r="BI180" s="10">
        <f t="shared" si="347"/>
        <v>0.46871763518774023</v>
      </c>
    </row>
    <row r="181" spans="1:61">
      <c r="A181" s="8" t="s">
        <v>478</v>
      </c>
      <c r="B181" s="110" t="s">
        <v>490</v>
      </c>
      <c r="C181" s="13"/>
      <c r="D181" s="13"/>
      <c r="E181" s="13"/>
      <c r="F181" s="13"/>
      <c r="G181" s="13"/>
      <c r="H181" s="13"/>
      <c r="I181" s="13"/>
      <c r="J181" s="13"/>
      <c r="K181" s="13"/>
      <c r="L181" s="13"/>
      <c r="M181" s="13"/>
      <c r="N181" s="13"/>
      <c r="O181" s="13"/>
      <c r="P181" s="13"/>
      <c r="Q181" s="78"/>
      <c r="R181" s="78"/>
      <c r="S181" s="78"/>
      <c r="T181" s="10">
        <f t="shared" ref="T181:BI181" si="348">T$9*(T166*10^-6)</f>
        <v>3.3644162182039326E-2</v>
      </c>
      <c r="U181" s="10">
        <f t="shared" si="348"/>
        <v>3.4788063696228659E-2</v>
      </c>
      <c r="V181" s="10">
        <f t="shared" si="348"/>
        <v>4.4331734120492787E-2</v>
      </c>
      <c r="W181" s="10">
        <f t="shared" si="348"/>
        <v>5.9603788010909153E-2</v>
      </c>
      <c r="X181" s="10">
        <f t="shared" si="348"/>
        <v>7.6300168417403655E-2</v>
      </c>
      <c r="Y181" s="10">
        <f t="shared" si="348"/>
        <v>8.6201716990654514E-2</v>
      </c>
      <c r="Z181" s="10">
        <f t="shared" si="348"/>
        <v>9.610326556390536E-2</v>
      </c>
      <c r="AA181" s="10">
        <f t="shared" si="348"/>
        <v>0.10600481413715622</v>
      </c>
      <c r="AB181" s="10">
        <f t="shared" si="348"/>
        <v>0.11590636271040708</v>
      </c>
      <c r="AC181" s="10">
        <f t="shared" si="348"/>
        <v>0.12580791128365792</v>
      </c>
      <c r="AD181" s="10">
        <f t="shared" si="348"/>
        <v>0.1357094598569088</v>
      </c>
      <c r="AE181" s="10">
        <f t="shared" si="348"/>
        <v>0.14561100843015964</v>
      </c>
      <c r="AF181" s="10">
        <f t="shared" si="348"/>
        <v>0.16191944137433753</v>
      </c>
      <c r="AG181" s="10">
        <f t="shared" si="348"/>
        <v>0.17822787431851542</v>
      </c>
      <c r="AH181" s="10">
        <f t="shared" si="348"/>
        <v>0.1945363072626933</v>
      </c>
      <c r="AI181" s="10">
        <f t="shared" si="348"/>
        <v>0.21084474020687116</v>
      </c>
      <c r="AJ181" s="10">
        <f t="shared" si="348"/>
        <v>0.22715317315104905</v>
      </c>
      <c r="AK181" s="10">
        <f t="shared" si="348"/>
        <v>0.24287916206150628</v>
      </c>
      <c r="AL181" s="10">
        <f t="shared" si="348"/>
        <v>0.25860515097196352</v>
      </c>
      <c r="AM181" s="10">
        <f t="shared" si="348"/>
        <v>0.27433113988242075</v>
      </c>
      <c r="AN181" s="10">
        <f t="shared" si="348"/>
        <v>0.29005712879287798</v>
      </c>
      <c r="AO181" s="10">
        <f t="shared" si="348"/>
        <v>0.30578311770333522</v>
      </c>
      <c r="AP181" s="10">
        <f t="shared" si="348"/>
        <v>0.32150910661379245</v>
      </c>
      <c r="AQ181" s="10">
        <f t="shared" si="348"/>
        <v>0.33723509552424974</v>
      </c>
      <c r="AR181" s="10">
        <f t="shared" si="348"/>
        <v>0.35296108443470697</v>
      </c>
      <c r="AS181" s="10">
        <f t="shared" si="348"/>
        <v>0.36868707334516421</v>
      </c>
      <c r="AT181" s="10">
        <f t="shared" si="348"/>
        <v>0.38441306225562144</v>
      </c>
      <c r="AU181" s="10">
        <f t="shared" si="348"/>
        <v>0.40072149519979933</v>
      </c>
      <c r="AV181" s="10">
        <f t="shared" si="348"/>
        <v>0.41702992814397727</v>
      </c>
      <c r="AW181" s="10">
        <f t="shared" si="348"/>
        <v>0.43333836108815516</v>
      </c>
      <c r="AX181" s="10">
        <f t="shared" si="348"/>
        <v>0.44964679403233299</v>
      </c>
      <c r="AY181" s="10">
        <f t="shared" si="348"/>
        <v>0.46595522697651087</v>
      </c>
      <c r="AZ181" s="10">
        <f t="shared" si="348"/>
        <v>0.46595522697651087</v>
      </c>
      <c r="BA181" s="10">
        <f t="shared" si="348"/>
        <v>0.46595522697651087</v>
      </c>
      <c r="BB181" s="10">
        <f t="shared" si="348"/>
        <v>0.46595522697651087</v>
      </c>
      <c r="BC181" s="10">
        <f t="shared" si="348"/>
        <v>0.46595522697651087</v>
      </c>
      <c r="BD181" s="10">
        <f t="shared" si="348"/>
        <v>0.46595522697651087</v>
      </c>
      <c r="BE181" s="10">
        <f t="shared" si="348"/>
        <v>0.46595522697651087</v>
      </c>
      <c r="BF181" s="10">
        <f t="shared" si="348"/>
        <v>0.46595522697651087</v>
      </c>
      <c r="BG181" s="10">
        <f t="shared" si="348"/>
        <v>0.46595522697651087</v>
      </c>
      <c r="BH181" s="10">
        <f t="shared" si="348"/>
        <v>0.46595522697651087</v>
      </c>
      <c r="BI181" s="10">
        <f t="shared" si="348"/>
        <v>0.46595522697651087</v>
      </c>
    </row>
    <row r="182" spans="1:61">
      <c r="A182" s="8" t="s">
        <v>271</v>
      </c>
      <c r="B182" s="110" t="s">
        <v>490</v>
      </c>
      <c r="C182" s="13"/>
      <c r="D182" s="13"/>
      <c r="E182" s="13"/>
      <c r="F182" s="13"/>
      <c r="G182" s="13"/>
      <c r="H182" s="13"/>
      <c r="I182" s="13"/>
      <c r="J182" s="13"/>
      <c r="K182" s="13"/>
      <c r="L182" s="13"/>
      <c r="M182" s="13"/>
      <c r="N182" s="13"/>
      <c r="O182" s="13"/>
      <c r="P182" s="13"/>
      <c r="Q182" s="78"/>
      <c r="R182" s="78"/>
      <c r="S182" s="78"/>
      <c r="T182" s="10">
        <f t="shared" ref="T182:BI182" si="349">T$9*(T167*10^-6)</f>
        <v>1.1635817041776254E-2</v>
      </c>
      <c r="U182" s="10">
        <f t="shared" si="349"/>
        <v>1.2031434821196646E-2</v>
      </c>
      <c r="V182" s="10">
        <f t="shared" si="349"/>
        <v>1.5332108571456679E-2</v>
      </c>
      <c r="W182" s="10">
        <f t="shared" si="349"/>
        <v>2.0613940942836029E-2</v>
      </c>
      <c r="X182" s="10">
        <f t="shared" si="349"/>
        <v>2.6388375943437129E-2</v>
      </c>
      <c r="Y182" s="10">
        <f t="shared" si="349"/>
        <v>2.9812821676554923E-2</v>
      </c>
      <c r="Z182" s="10">
        <f t="shared" si="349"/>
        <v>3.323726740967272E-2</v>
      </c>
      <c r="AA182" s="10">
        <f t="shared" si="349"/>
        <v>3.6661713142790514E-2</v>
      </c>
      <c r="AB182" s="10">
        <f t="shared" si="349"/>
        <v>4.0086158875908308E-2</v>
      </c>
      <c r="AC182" s="10">
        <f t="shared" si="349"/>
        <v>4.3510604609026102E-2</v>
      </c>
      <c r="AD182" s="10">
        <f t="shared" si="349"/>
        <v>4.6935050342143902E-2</v>
      </c>
      <c r="AE182" s="10">
        <f t="shared" si="349"/>
        <v>5.0359496075261696E-2</v>
      </c>
      <c r="AF182" s="10">
        <f t="shared" si="349"/>
        <v>5.5999759635691003E-2</v>
      </c>
      <c r="AG182" s="10">
        <f t="shared" si="349"/>
        <v>6.1640023196120323E-2</v>
      </c>
      <c r="AH182" s="10">
        <f t="shared" si="349"/>
        <v>6.7280286756549637E-2</v>
      </c>
      <c r="AI182" s="10">
        <f t="shared" si="349"/>
        <v>7.292055031697893E-2</v>
      </c>
      <c r="AJ182" s="10">
        <f t="shared" si="349"/>
        <v>7.856081387740825E-2</v>
      </c>
      <c r="AK182" s="10">
        <f t="shared" si="349"/>
        <v>8.3999639453536515E-2</v>
      </c>
      <c r="AL182" s="10">
        <f t="shared" si="349"/>
        <v>8.9438465029664779E-2</v>
      </c>
      <c r="AM182" s="10">
        <f t="shared" si="349"/>
        <v>9.487729060579303E-2</v>
      </c>
      <c r="AN182" s="10">
        <f t="shared" si="349"/>
        <v>0.10031611618192129</v>
      </c>
      <c r="AO182" s="10">
        <f t="shared" si="349"/>
        <v>0.10575494175804956</v>
      </c>
      <c r="AP182" s="10">
        <f t="shared" si="349"/>
        <v>0.11119376733417782</v>
      </c>
      <c r="AQ182" s="10">
        <f t="shared" si="349"/>
        <v>0.11663259291030609</v>
      </c>
      <c r="AR182" s="10">
        <f t="shared" si="349"/>
        <v>0.12207141848643435</v>
      </c>
      <c r="AS182" s="10">
        <f t="shared" si="349"/>
        <v>0.12751024406256262</v>
      </c>
      <c r="AT182" s="10">
        <f t="shared" si="349"/>
        <v>0.13294906963869088</v>
      </c>
      <c r="AU182" s="10">
        <f t="shared" si="349"/>
        <v>0.1385893331991202</v>
      </c>
      <c r="AV182" s="10">
        <f t="shared" si="349"/>
        <v>0.14422959675954952</v>
      </c>
      <c r="AW182" s="10">
        <f t="shared" si="349"/>
        <v>0.14986986031997881</v>
      </c>
      <c r="AX182" s="10">
        <f t="shared" si="349"/>
        <v>0.15551012388040811</v>
      </c>
      <c r="AY182" s="10">
        <f t="shared" si="349"/>
        <v>0.16115038744083743</v>
      </c>
      <c r="AZ182" s="10">
        <f t="shared" si="349"/>
        <v>0.16115038744083743</v>
      </c>
      <c r="BA182" s="10">
        <f t="shared" si="349"/>
        <v>0.16115038744083743</v>
      </c>
      <c r="BB182" s="10">
        <f t="shared" si="349"/>
        <v>0.16115038744083743</v>
      </c>
      <c r="BC182" s="10">
        <f t="shared" si="349"/>
        <v>0.16115038744083743</v>
      </c>
      <c r="BD182" s="10">
        <f t="shared" si="349"/>
        <v>0.16115038744083743</v>
      </c>
      <c r="BE182" s="10">
        <f t="shared" si="349"/>
        <v>0.16115038744083743</v>
      </c>
      <c r="BF182" s="10">
        <f t="shared" si="349"/>
        <v>0.16115038744083743</v>
      </c>
      <c r="BG182" s="10">
        <f t="shared" si="349"/>
        <v>0.16115038744083743</v>
      </c>
      <c r="BH182" s="10">
        <f t="shared" si="349"/>
        <v>0.16115038744083743</v>
      </c>
      <c r="BI182" s="10">
        <f t="shared" si="349"/>
        <v>0.16115038744083743</v>
      </c>
    </row>
    <row r="183" spans="1:61"/>
  </sheetData>
  <mergeCells count="30">
    <mergeCell ref="A5:A6"/>
    <mergeCell ref="A102:A103"/>
    <mergeCell ref="A108:A109"/>
    <mergeCell ref="A114:A115"/>
    <mergeCell ref="A71:A72"/>
    <mergeCell ref="A83:A84"/>
    <mergeCell ref="A48:Y49"/>
    <mergeCell ref="A60:Y61"/>
    <mergeCell ref="A69:V70"/>
    <mergeCell ref="A30:V31"/>
    <mergeCell ref="B135:B138"/>
    <mergeCell ref="A162:A163"/>
    <mergeCell ref="P162:P163"/>
    <mergeCell ref="V57:W57"/>
    <mergeCell ref="V43:W43"/>
    <mergeCell ref="V53:W53"/>
    <mergeCell ref="V54:W54"/>
    <mergeCell ref="V55:W55"/>
    <mergeCell ref="V56:W56"/>
    <mergeCell ref="P83:P84"/>
    <mergeCell ref="P71:P72"/>
    <mergeCell ref="A120:A121"/>
    <mergeCell ref="A126:V127"/>
    <mergeCell ref="A101:V101"/>
    <mergeCell ref="A171:A172"/>
    <mergeCell ref="A177:A178"/>
    <mergeCell ref="A156:A157"/>
    <mergeCell ref="P156:P157"/>
    <mergeCell ref="B148:B151"/>
    <mergeCell ref="A170:V170"/>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151"/>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0" defaultRowHeight="15" zeroHeight="1" outlineLevelRow="1" outlineLevelCol="1"/>
  <cols>
    <col min="1" max="1" width="30.7109375" customWidth="1"/>
    <col min="2" max="2" width="9.140625" customWidth="1"/>
    <col min="3" max="15" width="1.7109375" hidden="1" customWidth="1" outlineLevel="1"/>
    <col min="16" max="16" width="13.7109375" customWidth="1" collapsed="1"/>
    <col min="17" max="22" width="13.7109375" customWidth="1"/>
    <col min="23" max="62" width="9.140625" customWidth="1"/>
    <col min="63" max="16384" width="9.140625" hidden="1"/>
  </cols>
  <sheetData>
    <row r="1" spans="1:62" ht="21">
      <c r="A1" s="4" t="s">
        <v>118</v>
      </c>
      <c r="B1" s="5"/>
      <c r="C1" s="88"/>
      <c r="D1" s="88"/>
      <c r="E1" s="88"/>
      <c r="F1" s="88"/>
      <c r="G1" s="88"/>
      <c r="H1" s="88"/>
      <c r="I1" s="88"/>
      <c r="J1" s="88"/>
      <c r="K1" s="88"/>
      <c r="L1" s="5"/>
      <c r="M1" s="88"/>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row>
    <row r="2" spans="1:62">
      <c r="A2" s="315" t="str">
        <f>Indeksacja!$A$2</f>
        <v>Dla roku bazowego 2024 właściwe do zastosowania w analizie są wartości kosztów jednostkowych określone według poziomu cenowego z końca roku poprzedniego, tzn. 2023.</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315"/>
      <c r="AO2" s="315"/>
      <c r="AP2" s="315"/>
      <c r="AQ2" s="315"/>
      <c r="AR2" s="315"/>
      <c r="AS2" s="315"/>
      <c r="AT2" s="315"/>
      <c r="AU2" s="315"/>
      <c r="AV2" s="315"/>
      <c r="AW2" s="315"/>
      <c r="AX2" s="315"/>
      <c r="AY2" s="315"/>
      <c r="AZ2" s="315"/>
      <c r="BA2" s="315"/>
      <c r="BB2" s="315"/>
      <c r="BC2" s="315"/>
      <c r="BD2" s="315"/>
      <c r="BE2" s="315"/>
      <c r="BF2" s="315"/>
      <c r="BG2" s="315"/>
      <c r="BH2" s="315"/>
      <c r="BI2" s="315"/>
    </row>
    <row r="3" spans="1:62"/>
    <row r="4" spans="1:62">
      <c r="A4" s="187" t="str">
        <f>'VOC eksploatacja samochody'!$A$4</f>
        <v>Prognoza zmian struktury floty pojazdów drogowych w Polsce pod względem rodzaju paliwa</v>
      </c>
    </row>
    <row r="5" spans="1:62"/>
    <row r="6" spans="1:62">
      <c r="A6" s="166" t="str">
        <f>'VOC eksploatacja samochody'!$A$48</f>
        <v>Struktura floty pojazdów LV</v>
      </c>
      <c r="B6" s="315"/>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315"/>
      <c r="AI6" s="315"/>
      <c r="AJ6" s="315"/>
      <c r="AK6" s="315"/>
      <c r="AL6" s="315"/>
      <c r="AM6" s="315"/>
      <c r="AN6" s="315"/>
      <c r="AO6" s="315"/>
      <c r="AP6" s="315"/>
      <c r="AQ6" s="315"/>
      <c r="AR6" s="315"/>
      <c r="AS6" s="315"/>
      <c r="AT6" s="315"/>
      <c r="AU6" s="315"/>
      <c r="AV6" s="315"/>
      <c r="AW6" s="315"/>
      <c r="AX6" s="315"/>
      <c r="AY6" s="315"/>
      <c r="AZ6" s="315"/>
      <c r="BA6" s="315"/>
      <c r="BB6" s="315"/>
      <c r="BC6" s="315"/>
      <c r="BD6" s="315"/>
      <c r="BE6" s="315"/>
      <c r="BF6" s="315"/>
      <c r="BG6" s="315"/>
      <c r="BH6" s="315"/>
      <c r="BI6" s="315"/>
    </row>
    <row r="7" spans="1:62">
      <c r="A7" s="9" t="s">
        <v>72</v>
      </c>
      <c r="B7" s="663" t="s">
        <v>0</v>
      </c>
      <c r="C7" s="2"/>
      <c r="D7" s="2"/>
      <c r="E7" s="2"/>
      <c r="F7" s="2"/>
      <c r="G7" s="2"/>
      <c r="H7" s="2"/>
      <c r="I7" s="2"/>
      <c r="J7" s="2"/>
      <c r="K7" s="2"/>
      <c r="L7" s="2"/>
      <c r="M7" s="2"/>
      <c r="N7" s="2"/>
      <c r="O7" s="2"/>
      <c r="P7" s="2"/>
      <c r="Q7" s="6"/>
      <c r="R7" s="6"/>
      <c r="S7" s="6"/>
      <c r="T7" s="6">
        <v>2019</v>
      </c>
      <c r="U7" s="6">
        <f t="shared" ref="U7:BJ7" si="0">T7+1</f>
        <v>2020</v>
      </c>
      <c r="V7" s="6">
        <f t="shared" si="0"/>
        <v>2021</v>
      </c>
      <c r="W7" s="6">
        <f t="shared" si="0"/>
        <v>2022</v>
      </c>
      <c r="X7" s="6">
        <f t="shared" si="0"/>
        <v>2023</v>
      </c>
      <c r="Y7" s="6">
        <f t="shared" si="0"/>
        <v>2024</v>
      </c>
      <c r="Z7" s="6">
        <f t="shared" si="0"/>
        <v>2025</v>
      </c>
      <c r="AA7" s="6">
        <f t="shared" si="0"/>
        <v>2026</v>
      </c>
      <c r="AB7" s="6">
        <f t="shared" si="0"/>
        <v>2027</v>
      </c>
      <c r="AC7" s="6">
        <f t="shared" si="0"/>
        <v>2028</v>
      </c>
      <c r="AD7" s="6">
        <f t="shared" si="0"/>
        <v>2029</v>
      </c>
      <c r="AE7" s="6">
        <f t="shared" si="0"/>
        <v>2030</v>
      </c>
      <c r="AF7" s="6">
        <f t="shared" si="0"/>
        <v>2031</v>
      </c>
      <c r="AG7" s="6">
        <f t="shared" si="0"/>
        <v>2032</v>
      </c>
      <c r="AH7" s="6">
        <f t="shared" si="0"/>
        <v>2033</v>
      </c>
      <c r="AI7" s="6">
        <f t="shared" si="0"/>
        <v>2034</v>
      </c>
      <c r="AJ7" s="6">
        <f t="shared" si="0"/>
        <v>2035</v>
      </c>
      <c r="AK7" s="6">
        <f t="shared" si="0"/>
        <v>2036</v>
      </c>
      <c r="AL7" s="6">
        <f t="shared" si="0"/>
        <v>2037</v>
      </c>
      <c r="AM7" s="6">
        <f t="shared" si="0"/>
        <v>2038</v>
      </c>
      <c r="AN7" s="6">
        <f t="shared" si="0"/>
        <v>2039</v>
      </c>
      <c r="AO7" s="6">
        <f t="shared" si="0"/>
        <v>2040</v>
      </c>
      <c r="AP7" s="6">
        <f t="shared" si="0"/>
        <v>2041</v>
      </c>
      <c r="AQ7" s="6">
        <f t="shared" si="0"/>
        <v>2042</v>
      </c>
      <c r="AR7" s="6">
        <f t="shared" si="0"/>
        <v>2043</v>
      </c>
      <c r="AS7" s="6">
        <f t="shared" si="0"/>
        <v>2044</v>
      </c>
      <c r="AT7" s="6">
        <f t="shared" si="0"/>
        <v>2045</v>
      </c>
      <c r="AU7" s="6">
        <f t="shared" si="0"/>
        <v>2046</v>
      </c>
      <c r="AV7" s="6">
        <f t="shared" si="0"/>
        <v>2047</v>
      </c>
      <c r="AW7" s="6">
        <f t="shared" si="0"/>
        <v>2048</v>
      </c>
      <c r="AX7" s="6">
        <f t="shared" si="0"/>
        <v>2049</v>
      </c>
      <c r="AY7" s="6">
        <f t="shared" si="0"/>
        <v>2050</v>
      </c>
      <c r="AZ7" s="6">
        <f t="shared" si="0"/>
        <v>2051</v>
      </c>
      <c r="BA7" s="6">
        <f t="shared" si="0"/>
        <v>2052</v>
      </c>
      <c r="BB7" s="6">
        <f t="shared" si="0"/>
        <v>2053</v>
      </c>
      <c r="BC7" s="6">
        <f t="shared" si="0"/>
        <v>2054</v>
      </c>
      <c r="BD7" s="6">
        <f t="shared" si="0"/>
        <v>2055</v>
      </c>
      <c r="BE7" s="6">
        <f t="shared" si="0"/>
        <v>2056</v>
      </c>
      <c r="BF7" s="6">
        <f t="shared" si="0"/>
        <v>2057</v>
      </c>
      <c r="BG7" s="6">
        <f t="shared" si="0"/>
        <v>2058</v>
      </c>
      <c r="BH7" s="6">
        <f t="shared" si="0"/>
        <v>2059</v>
      </c>
      <c r="BI7" s="6">
        <f t="shared" si="0"/>
        <v>2060</v>
      </c>
      <c r="BJ7" s="6">
        <f t="shared" si="0"/>
        <v>2061</v>
      </c>
    </row>
    <row r="8" spans="1:62">
      <c r="A8" s="155" t="s">
        <v>583</v>
      </c>
      <c r="B8" s="170"/>
      <c r="C8" s="170"/>
      <c r="D8" s="170"/>
      <c r="E8" s="170"/>
      <c r="F8" s="170"/>
      <c r="G8" s="170"/>
      <c r="H8" s="170"/>
      <c r="I8" s="170"/>
      <c r="J8" s="170"/>
      <c r="K8" s="170"/>
      <c r="L8" s="170"/>
      <c r="M8" s="170"/>
      <c r="N8" s="170"/>
      <c r="O8" s="170"/>
      <c r="P8" s="170"/>
      <c r="Q8" s="170"/>
      <c r="R8" s="170"/>
      <c r="S8" s="171"/>
      <c r="T8" s="172">
        <f>'VOC eksploatacja samochody'!T50</f>
        <v>1</v>
      </c>
      <c r="U8" s="173">
        <f>'VOC eksploatacja samochody'!U50</f>
        <v>0.99290909090909085</v>
      </c>
      <c r="V8" s="169">
        <f>'VOC eksploatacja samochody'!V50</f>
        <v>0.9858181818181817</v>
      </c>
      <c r="W8" s="169">
        <f>'VOC eksploatacja samochody'!W50</f>
        <v>0.97872727272727256</v>
      </c>
      <c r="X8" s="169">
        <f>'VOC eksploatacja samochody'!X50</f>
        <v>0.97163636363636341</v>
      </c>
      <c r="Y8" s="169">
        <f>'VOC eksploatacja samochody'!Y50</f>
        <v>0.96454545454545426</v>
      </c>
      <c r="Z8" s="169">
        <f>'VOC eksploatacja samochody'!Z50</f>
        <v>0.95745454545454511</v>
      </c>
      <c r="AA8" s="169">
        <f>'VOC eksploatacja samochody'!AA50</f>
        <v>0.95036363636363597</v>
      </c>
      <c r="AB8" s="169">
        <f>'VOC eksploatacja samochody'!AB50</f>
        <v>0.94327272727272682</v>
      </c>
      <c r="AC8" s="169">
        <f>'VOC eksploatacja samochody'!AC50</f>
        <v>0.93618181818181767</v>
      </c>
      <c r="AD8" s="169">
        <f>'VOC eksploatacja samochody'!AD50</f>
        <v>0.92909090909090852</v>
      </c>
      <c r="AE8" s="172">
        <f>'VOC eksploatacja samochody'!AE50</f>
        <v>0.92199999999999993</v>
      </c>
      <c r="AF8" s="169">
        <f>'VOC eksploatacja samochody'!AF50</f>
        <v>0.90934999999999988</v>
      </c>
      <c r="AG8" s="169">
        <f>'VOC eksploatacja samochody'!AG50</f>
        <v>0.89669999999999983</v>
      </c>
      <c r="AH8" s="169">
        <f>'VOC eksploatacja samochody'!AH50</f>
        <v>0.88404999999999978</v>
      </c>
      <c r="AI8" s="169">
        <f>'VOC eksploatacja samochody'!AI50</f>
        <v>0.87139999999999973</v>
      </c>
      <c r="AJ8" s="169">
        <f>'VOC eksploatacja samochody'!AJ50</f>
        <v>0.85874999999999968</v>
      </c>
      <c r="AK8" s="169">
        <f>'VOC eksploatacja samochody'!AK50</f>
        <v>0.84609999999999963</v>
      </c>
      <c r="AL8" s="169">
        <f>'VOC eksploatacja samochody'!AL50</f>
        <v>0.83344999999999958</v>
      </c>
      <c r="AM8" s="169">
        <f>'VOC eksploatacja samochody'!AM50</f>
        <v>0.82079999999999953</v>
      </c>
      <c r="AN8" s="169">
        <f>'VOC eksploatacja samochody'!AN50</f>
        <v>0.80814999999999948</v>
      </c>
      <c r="AO8" s="169">
        <f>'VOC eksploatacja samochody'!AO50</f>
        <v>0.79549999999999943</v>
      </c>
      <c r="AP8" s="169">
        <f>'VOC eksploatacja samochody'!AP50</f>
        <v>0.78284999999999938</v>
      </c>
      <c r="AQ8" s="169">
        <f>'VOC eksploatacja samochody'!AQ50</f>
        <v>0.77019999999999933</v>
      </c>
      <c r="AR8" s="169">
        <f>'VOC eksploatacja samochody'!AR50</f>
        <v>0.75754999999999928</v>
      </c>
      <c r="AS8" s="169">
        <f>'VOC eksploatacja samochody'!AS50</f>
        <v>0.74489999999999923</v>
      </c>
      <c r="AT8" s="169">
        <f>'VOC eksploatacja samochody'!AT50</f>
        <v>0.73224999999999918</v>
      </c>
      <c r="AU8" s="169">
        <f>'VOC eksploatacja samochody'!AU50</f>
        <v>0.71959999999999913</v>
      </c>
      <c r="AV8" s="169">
        <f>'VOC eksploatacja samochody'!AV50</f>
        <v>0.70694999999999908</v>
      </c>
      <c r="AW8" s="169">
        <f>'VOC eksploatacja samochody'!AW50</f>
        <v>0.69429999999999903</v>
      </c>
      <c r="AX8" s="169">
        <f>'VOC eksploatacja samochody'!AX50</f>
        <v>0.68164999999999898</v>
      </c>
      <c r="AY8" s="172">
        <f>'VOC eksploatacja samochody'!AY50</f>
        <v>0.66900000000000004</v>
      </c>
      <c r="AZ8" s="169">
        <f>'VOC eksploatacja samochody'!AZ50</f>
        <v>0.66900000000000004</v>
      </c>
      <c r="BA8" s="169">
        <f>'VOC eksploatacja samochody'!BA50</f>
        <v>0.66900000000000004</v>
      </c>
      <c r="BB8" s="169">
        <f>'VOC eksploatacja samochody'!BB50</f>
        <v>0.66900000000000004</v>
      </c>
      <c r="BC8" s="169">
        <f>'VOC eksploatacja samochody'!BC50</f>
        <v>0.66900000000000004</v>
      </c>
      <c r="BD8" s="169">
        <f>'VOC eksploatacja samochody'!BD50</f>
        <v>0.66900000000000004</v>
      </c>
      <c r="BE8" s="169">
        <f>'VOC eksploatacja samochody'!BE50</f>
        <v>0.66900000000000004</v>
      </c>
      <c r="BF8" s="169">
        <f>'VOC eksploatacja samochody'!BF50</f>
        <v>0.66900000000000004</v>
      </c>
      <c r="BG8" s="169">
        <f>'VOC eksploatacja samochody'!BG50</f>
        <v>0.66900000000000004</v>
      </c>
      <c r="BH8" s="169">
        <f>'VOC eksploatacja samochody'!BH50</f>
        <v>0.66900000000000004</v>
      </c>
      <c r="BI8" s="169">
        <f>'VOC eksploatacja samochody'!BI50</f>
        <v>0.66900000000000004</v>
      </c>
      <c r="BJ8" s="169">
        <f>'VOC eksploatacja samochody'!BJ50</f>
        <v>0.66900000000000004</v>
      </c>
    </row>
    <row r="9" spans="1:62">
      <c r="A9" s="206" t="s">
        <v>581</v>
      </c>
      <c r="B9" s="201"/>
      <c r="C9" s="201"/>
      <c r="D9" s="201"/>
      <c r="E9" s="201"/>
      <c r="F9" s="201"/>
      <c r="G9" s="201"/>
      <c r="H9" s="201"/>
      <c r="I9" s="201"/>
      <c r="J9" s="201"/>
      <c r="K9" s="201"/>
      <c r="L9" s="201"/>
      <c r="M9" s="201"/>
      <c r="N9" s="201"/>
      <c r="O9" s="201"/>
      <c r="P9" s="201"/>
      <c r="Q9" s="201"/>
      <c r="R9" s="201"/>
      <c r="S9" s="202"/>
      <c r="T9" s="211">
        <f>'VOC eksploatacja samochody'!T51</f>
        <v>0.67903598504544949</v>
      </c>
      <c r="U9" s="204">
        <f>'VOC eksploatacja samochody'!U51</f>
        <v>0.67621453185949953</v>
      </c>
      <c r="V9" s="205">
        <f>'VOC eksploatacja samochody'!V51</f>
        <v>0.67339307867354958</v>
      </c>
      <c r="W9" s="205">
        <f>'VOC eksploatacja samochody'!W51</f>
        <v>0.67057162548759963</v>
      </c>
      <c r="X9" s="205">
        <f>'VOC eksploatacja samochody'!X51</f>
        <v>0.66775017230164968</v>
      </c>
      <c r="Y9" s="205">
        <f>'VOC eksploatacja samochody'!Y51</f>
        <v>0.66492871911569973</v>
      </c>
      <c r="Z9" s="205">
        <f>'VOC eksploatacja samochody'!Z51</f>
        <v>0.66210726592974978</v>
      </c>
      <c r="AA9" s="205">
        <f>'VOC eksploatacja samochody'!AA51</f>
        <v>0.65928581274379983</v>
      </c>
      <c r="AB9" s="205">
        <f>'VOC eksploatacja samochody'!AB51</f>
        <v>0.65646435955784987</v>
      </c>
      <c r="AC9" s="205">
        <f>'VOC eksploatacja samochody'!AC51</f>
        <v>0.65364290637189992</v>
      </c>
      <c r="AD9" s="205">
        <f>'VOC eksploatacja samochody'!AD51</f>
        <v>0.65082145318594997</v>
      </c>
      <c r="AE9" s="211">
        <f>'VOC eksploatacja samochody'!AE51</f>
        <v>0.64799999999999991</v>
      </c>
      <c r="AF9" s="205">
        <f>'VOC eksploatacja samochody'!AF51</f>
        <v>0.64039999999999986</v>
      </c>
      <c r="AG9" s="205">
        <f>'VOC eksploatacja samochody'!AG51</f>
        <v>0.63279999999999981</v>
      </c>
      <c r="AH9" s="205">
        <f>'VOC eksploatacja samochody'!AH51</f>
        <v>0.62519999999999976</v>
      </c>
      <c r="AI9" s="205">
        <f>'VOC eksploatacja samochody'!AI51</f>
        <v>0.6175999999999997</v>
      </c>
      <c r="AJ9" s="205">
        <f>'VOC eksploatacja samochody'!AJ51</f>
        <v>0.60999999999999965</v>
      </c>
      <c r="AK9" s="205">
        <f>'VOC eksploatacja samochody'!AK51</f>
        <v>0.6023999999999996</v>
      </c>
      <c r="AL9" s="205">
        <f>'VOC eksploatacja samochody'!AL51</f>
        <v>0.59479999999999955</v>
      </c>
      <c r="AM9" s="205">
        <f>'VOC eksploatacja samochody'!AM51</f>
        <v>0.5871999999999995</v>
      </c>
      <c r="AN9" s="205">
        <f>'VOC eksploatacja samochody'!AN51</f>
        <v>0.57959999999999945</v>
      </c>
      <c r="AO9" s="205">
        <f>'VOC eksploatacja samochody'!AO51</f>
        <v>0.5719999999999994</v>
      </c>
      <c r="AP9" s="205">
        <f>'VOC eksploatacja samochody'!AP51</f>
        <v>0.56439999999999935</v>
      </c>
      <c r="AQ9" s="205">
        <f>'VOC eksploatacja samochody'!AQ51</f>
        <v>0.5567999999999993</v>
      </c>
      <c r="AR9" s="205">
        <f>'VOC eksploatacja samochody'!AR51</f>
        <v>0.54919999999999924</v>
      </c>
      <c r="AS9" s="205">
        <f>'VOC eksploatacja samochody'!AS51</f>
        <v>0.54159999999999919</v>
      </c>
      <c r="AT9" s="205">
        <f>'VOC eksploatacja samochody'!AT51</f>
        <v>0.53399999999999914</v>
      </c>
      <c r="AU9" s="205">
        <f>'VOC eksploatacja samochody'!AU51</f>
        <v>0.52639999999999909</v>
      </c>
      <c r="AV9" s="205">
        <f>'VOC eksploatacja samochody'!AV51</f>
        <v>0.51879999999999904</v>
      </c>
      <c r="AW9" s="205">
        <f>'VOC eksploatacja samochody'!AW51</f>
        <v>0.51119999999999899</v>
      </c>
      <c r="AX9" s="205">
        <f>'VOC eksploatacja samochody'!AX51</f>
        <v>0.50359999999999894</v>
      </c>
      <c r="AY9" s="211">
        <f>'VOC eksploatacja samochody'!AY51</f>
        <v>0.496</v>
      </c>
      <c r="AZ9" s="205">
        <f>'VOC eksploatacja samochody'!AZ51</f>
        <v>0.496</v>
      </c>
      <c r="BA9" s="205">
        <f>'VOC eksploatacja samochody'!BA51</f>
        <v>0.496</v>
      </c>
      <c r="BB9" s="205">
        <f>'VOC eksploatacja samochody'!BB51</f>
        <v>0.496</v>
      </c>
      <c r="BC9" s="205">
        <f>'VOC eksploatacja samochody'!BC51</f>
        <v>0.496</v>
      </c>
      <c r="BD9" s="205">
        <f>'VOC eksploatacja samochody'!BD51</f>
        <v>0.496</v>
      </c>
      <c r="BE9" s="205">
        <f>'VOC eksploatacja samochody'!BE51</f>
        <v>0.496</v>
      </c>
      <c r="BF9" s="205">
        <f>'VOC eksploatacja samochody'!BF51</f>
        <v>0.496</v>
      </c>
      <c r="BG9" s="205">
        <f>'VOC eksploatacja samochody'!BG51</f>
        <v>0.496</v>
      </c>
      <c r="BH9" s="205">
        <f>'VOC eksploatacja samochody'!BH51</f>
        <v>0.496</v>
      </c>
      <c r="BI9" s="205">
        <f>'VOC eksploatacja samochody'!BI51</f>
        <v>0.496</v>
      </c>
      <c r="BJ9" s="205">
        <f>'VOC eksploatacja samochody'!BJ51</f>
        <v>0.496</v>
      </c>
    </row>
    <row r="10" spans="1:62">
      <c r="A10" s="206" t="s">
        <v>73</v>
      </c>
      <c r="B10" s="201"/>
      <c r="C10" s="201"/>
      <c r="D10" s="201"/>
      <c r="E10" s="201"/>
      <c r="F10" s="201"/>
      <c r="G10" s="201"/>
      <c r="H10" s="201"/>
      <c r="I10" s="201"/>
      <c r="J10" s="201"/>
      <c r="K10" s="201"/>
      <c r="L10" s="201"/>
      <c r="M10" s="201"/>
      <c r="N10" s="201"/>
      <c r="O10" s="201"/>
      <c r="P10" s="201"/>
      <c r="Q10" s="201"/>
      <c r="R10" s="201"/>
      <c r="S10" s="202"/>
      <c r="T10" s="211">
        <f>'VOC eksploatacja samochody'!T52</f>
        <v>0.32096401495455057</v>
      </c>
      <c r="U10" s="204">
        <f>'VOC eksploatacja samochody'!U52</f>
        <v>0.31669455904959143</v>
      </c>
      <c r="V10" s="205">
        <f>'VOC eksploatacja samochody'!V52</f>
        <v>0.31242510314463229</v>
      </c>
      <c r="W10" s="205">
        <f>'VOC eksploatacja samochody'!W52</f>
        <v>0.30815564723967315</v>
      </c>
      <c r="X10" s="205">
        <f>'VOC eksploatacja samochody'!X52</f>
        <v>0.30388619133471401</v>
      </c>
      <c r="Y10" s="205">
        <f>'VOC eksploatacja samochody'!Y52</f>
        <v>0.29961673542975487</v>
      </c>
      <c r="Z10" s="205">
        <f>'VOC eksploatacja samochody'!Z52</f>
        <v>0.29534727952479572</v>
      </c>
      <c r="AA10" s="205">
        <f>'VOC eksploatacja samochody'!AA52</f>
        <v>0.29107782361983658</v>
      </c>
      <c r="AB10" s="205">
        <f>'VOC eksploatacja samochody'!AB52</f>
        <v>0.28680836771487744</v>
      </c>
      <c r="AC10" s="205">
        <f>'VOC eksploatacja samochody'!AC52</f>
        <v>0.2825389118099183</v>
      </c>
      <c r="AD10" s="205">
        <f>'VOC eksploatacja samochody'!AD52</f>
        <v>0.27826945590495916</v>
      </c>
      <c r="AE10" s="211">
        <f>'VOC eksploatacja samochody'!AE52</f>
        <v>0.27400000000000002</v>
      </c>
      <c r="AF10" s="205">
        <f>'VOC eksploatacja samochody'!AF52</f>
        <v>0.26895000000000002</v>
      </c>
      <c r="AG10" s="205">
        <f>'VOC eksploatacja samochody'!AG52</f>
        <v>0.26390000000000002</v>
      </c>
      <c r="AH10" s="205">
        <f>'VOC eksploatacja samochody'!AH52</f>
        <v>0.25885000000000002</v>
      </c>
      <c r="AI10" s="205">
        <f>'VOC eksploatacja samochody'!AI52</f>
        <v>0.25380000000000003</v>
      </c>
      <c r="AJ10" s="205">
        <f>'VOC eksploatacja samochody'!AJ52</f>
        <v>0.24875000000000003</v>
      </c>
      <c r="AK10" s="205">
        <f>'VOC eksploatacja samochody'!AK52</f>
        <v>0.24370000000000003</v>
      </c>
      <c r="AL10" s="205">
        <f>'VOC eksploatacja samochody'!AL52</f>
        <v>0.23865000000000003</v>
      </c>
      <c r="AM10" s="205">
        <f>'VOC eksploatacja samochody'!AM52</f>
        <v>0.23360000000000003</v>
      </c>
      <c r="AN10" s="205">
        <f>'VOC eksploatacja samochody'!AN52</f>
        <v>0.22855000000000003</v>
      </c>
      <c r="AO10" s="205">
        <f>'VOC eksploatacja samochody'!AO52</f>
        <v>0.22350000000000003</v>
      </c>
      <c r="AP10" s="205">
        <f>'VOC eksploatacja samochody'!AP52</f>
        <v>0.21845000000000003</v>
      </c>
      <c r="AQ10" s="205">
        <f>'VOC eksploatacja samochody'!AQ52</f>
        <v>0.21340000000000003</v>
      </c>
      <c r="AR10" s="205">
        <f>'VOC eksploatacja samochody'!AR52</f>
        <v>0.20835000000000004</v>
      </c>
      <c r="AS10" s="205">
        <f>'VOC eksploatacja samochody'!AS52</f>
        <v>0.20330000000000004</v>
      </c>
      <c r="AT10" s="205">
        <f>'VOC eksploatacja samochody'!AT52</f>
        <v>0.19825000000000004</v>
      </c>
      <c r="AU10" s="205">
        <f>'VOC eksploatacja samochody'!AU52</f>
        <v>0.19320000000000004</v>
      </c>
      <c r="AV10" s="205">
        <f>'VOC eksploatacja samochody'!AV52</f>
        <v>0.18815000000000004</v>
      </c>
      <c r="AW10" s="205">
        <f>'VOC eksploatacja samochody'!AW52</f>
        <v>0.18310000000000004</v>
      </c>
      <c r="AX10" s="205">
        <f>'VOC eksploatacja samochody'!AX52</f>
        <v>0.17805000000000004</v>
      </c>
      <c r="AY10" s="211">
        <f>'VOC eksploatacja samochody'!AY52</f>
        <v>0.17299999999999999</v>
      </c>
      <c r="AZ10" s="205">
        <f>'VOC eksploatacja samochody'!AZ52</f>
        <v>0.17299999999999999</v>
      </c>
      <c r="BA10" s="205">
        <f>'VOC eksploatacja samochody'!BA52</f>
        <v>0.17299999999999999</v>
      </c>
      <c r="BB10" s="205">
        <f>'VOC eksploatacja samochody'!BB52</f>
        <v>0.17299999999999999</v>
      </c>
      <c r="BC10" s="205">
        <f>'VOC eksploatacja samochody'!BC52</f>
        <v>0.17299999999999999</v>
      </c>
      <c r="BD10" s="205">
        <f>'VOC eksploatacja samochody'!BD52</f>
        <v>0.17299999999999999</v>
      </c>
      <c r="BE10" s="205">
        <f>'VOC eksploatacja samochody'!BE52</f>
        <v>0.17299999999999999</v>
      </c>
      <c r="BF10" s="205">
        <f>'VOC eksploatacja samochody'!BF52</f>
        <v>0.17299999999999999</v>
      </c>
      <c r="BG10" s="205">
        <f>'VOC eksploatacja samochody'!BG52</f>
        <v>0.17299999999999999</v>
      </c>
      <c r="BH10" s="205">
        <f>'VOC eksploatacja samochody'!BH52</f>
        <v>0.17299999999999999</v>
      </c>
      <c r="BI10" s="205">
        <f>'VOC eksploatacja samochody'!BI52</f>
        <v>0.17299999999999999</v>
      </c>
      <c r="BJ10" s="205">
        <f>'VOC eksploatacja samochody'!BJ52</f>
        <v>0.17299999999999999</v>
      </c>
    </row>
    <row r="11" spans="1:62">
      <c r="A11" s="155" t="s">
        <v>77</v>
      </c>
      <c r="B11" s="170"/>
      <c r="C11" s="170"/>
      <c r="D11" s="170"/>
      <c r="E11" s="170"/>
      <c r="F11" s="170"/>
      <c r="G11" s="170"/>
      <c r="H11" s="170"/>
      <c r="I11" s="170"/>
      <c r="J11" s="170"/>
      <c r="K11" s="170"/>
      <c r="L11" s="170"/>
      <c r="M11" s="170"/>
      <c r="N11" s="170"/>
      <c r="O11" s="170"/>
      <c r="P11" s="170"/>
      <c r="Q11" s="170"/>
      <c r="R11" s="170"/>
      <c r="S11" s="171"/>
      <c r="T11" s="172">
        <f>'VOC eksploatacja samochody'!T53</f>
        <v>0</v>
      </c>
      <c r="U11" s="173">
        <f>'VOC eksploatacja samochody'!U53</f>
        <v>7.0909090909090913E-3</v>
      </c>
      <c r="V11" s="169">
        <f>'VOC eksploatacja samochody'!V53</f>
        <v>1.4181818181818183E-2</v>
      </c>
      <c r="W11" s="169">
        <f>'VOC eksploatacja samochody'!W53</f>
        <v>2.1272727272727273E-2</v>
      </c>
      <c r="X11" s="169">
        <f>'VOC eksploatacja samochody'!X53</f>
        <v>2.8363636363636365E-2</v>
      </c>
      <c r="Y11" s="169">
        <f>'VOC eksploatacja samochody'!Y53</f>
        <v>3.5454545454545454E-2</v>
      </c>
      <c r="Z11" s="169">
        <f>'VOC eksploatacja samochody'!Z53</f>
        <v>4.2545454545454546E-2</v>
      </c>
      <c r="AA11" s="169">
        <f>'VOC eksploatacja samochody'!AA53</f>
        <v>4.9636363636363638E-2</v>
      </c>
      <c r="AB11" s="169">
        <f>'VOC eksploatacja samochody'!AB53</f>
        <v>5.672727272727273E-2</v>
      </c>
      <c r="AC11" s="169">
        <f>'VOC eksploatacja samochody'!AC53</f>
        <v>6.3818181818181816E-2</v>
      </c>
      <c r="AD11" s="169">
        <f>'VOC eksploatacja samochody'!AD53</f>
        <v>7.0909090909090908E-2</v>
      </c>
      <c r="AE11" s="172">
        <f>'VOC eksploatacja samochody'!AE53</f>
        <v>7.8E-2</v>
      </c>
      <c r="AF11" s="169">
        <f>'VOC eksploatacja samochody'!AF53</f>
        <v>9.0649999999999994E-2</v>
      </c>
      <c r="AG11" s="169">
        <f>'VOC eksploatacja samochody'!AG53</f>
        <v>0.10329999999999999</v>
      </c>
      <c r="AH11" s="169">
        <f>'VOC eksploatacja samochody'!AH53</f>
        <v>0.11594999999999998</v>
      </c>
      <c r="AI11" s="169">
        <f>'VOC eksploatacja samochody'!AI53</f>
        <v>0.12859999999999999</v>
      </c>
      <c r="AJ11" s="169">
        <f>'VOC eksploatacja samochody'!AJ53</f>
        <v>0.14124999999999999</v>
      </c>
      <c r="AK11" s="169">
        <f>'VOC eksploatacja samochody'!AK53</f>
        <v>0.15389999999999998</v>
      </c>
      <c r="AL11" s="169">
        <f>'VOC eksploatacja samochody'!AL53</f>
        <v>0.16654999999999998</v>
      </c>
      <c r="AM11" s="169">
        <f>'VOC eksploatacja samochody'!AM53</f>
        <v>0.17919999999999997</v>
      </c>
      <c r="AN11" s="169">
        <f>'VOC eksploatacja samochody'!AN53</f>
        <v>0.19184999999999997</v>
      </c>
      <c r="AO11" s="169">
        <f>'VOC eksploatacja samochody'!AO53</f>
        <v>0.20449999999999996</v>
      </c>
      <c r="AP11" s="169">
        <f>'VOC eksploatacja samochody'!AP53</f>
        <v>0.21714999999999995</v>
      </c>
      <c r="AQ11" s="169">
        <f>'VOC eksploatacja samochody'!AQ53</f>
        <v>0.22979999999999995</v>
      </c>
      <c r="AR11" s="169">
        <f>'VOC eksploatacja samochody'!AR53</f>
        <v>0.24244999999999994</v>
      </c>
      <c r="AS11" s="169">
        <f>'VOC eksploatacja samochody'!AS53</f>
        <v>0.25509999999999994</v>
      </c>
      <c r="AT11" s="169">
        <f>'VOC eksploatacja samochody'!AT53</f>
        <v>0.26774999999999993</v>
      </c>
      <c r="AU11" s="169">
        <f>'VOC eksploatacja samochody'!AU53</f>
        <v>0.28039999999999993</v>
      </c>
      <c r="AV11" s="169">
        <f>'VOC eksploatacja samochody'!AV53</f>
        <v>0.29304999999999992</v>
      </c>
      <c r="AW11" s="169">
        <f>'VOC eksploatacja samochody'!AW53</f>
        <v>0.30569999999999992</v>
      </c>
      <c r="AX11" s="169">
        <f>'VOC eksploatacja samochody'!AX53</f>
        <v>0.31834999999999991</v>
      </c>
      <c r="AY11" s="172">
        <f>'VOC eksploatacja samochody'!AY53</f>
        <v>0.33100000000000002</v>
      </c>
      <c r="AZ11" s="169">
        <f>'VOC eksploatacja samochody'!AZ53</f>
        <v>0.33100000000000002</v>
      </c>
      <c r="BA11" s="169">
        <f>'VOC eksploatacja samochody'!BA53</f>
        <v>0.33100000000000002</v>
      </c>
      <c r="BB11" s="169">
        <f>'VOC eksploatacja samochody'!BB53</f>
        <v>0.33100000000000002</v>
      </c>
      <c r="BC11" s="169">
        <f>'VOC eksploatacja samochody'!BC53</f>
        <v>0.33100000000000002</v>
      </c>
      <c r="BD11" s="169">
        <f>'VOC eksploatacja samochody'!BD53</f>
        <v>0.33100000000000002</v>
      </c>
      <c r="BE11" s="169">
        <f>'VOC eksploatacja samochody'!BE53</f>
        <v>0.33100000000000002</v>
      </c>
      <c r="BF11" s="169">
        <f>'VOC eksploatacja samochody'!BF53</f>
        <v>0.33100000000000002</v>
      </c>
      <c r="BG11" s="169">
        <f>'VOC eksploatacja samochody'!BG53</f>
        <v>0.33100000000000002</v>
      </c>
      <c r="BH11" s="169">
        <f>'VOC eksploatacja samochody'!BH53</f>
        <v>0.33100000000000002</v>
      </c>
      <c r="BI11" s="169">
        <f>'VOC eksploatacja samochody'!BI53</f>
        <v>0.33100000000000002</v>
      </c>
      <c r="BJ11" s="169">
        <f>'VOC eksploatacja samochody'!BJ53</f>
        <v>0.33100000000000002</v>
      </c>
    </row>
    <row r="12" spans="1:62">
      <c r="A12" s="174"/>
      <c r="B12" s="175"/>
      <c r="C12" s="175"/>
      <c r="D12" s="175"/>
      <c r="E12" s="175"/>
      <c r="F12" s="175"/>
      <c r="G12" s="175"/>
      <c r="H12" s="175"/>
      <c r="I12" s="175"/>
      <c r="J12" s="175"/>
      <c r="K12" s="175"/>
      <c r="L12" s="175"/>
      <c r="M12" s="175"/>
      <c r="N12" s="175"/>
      <c r="O12" s="175"/>
      <c r="P12" s="175"/>
      <c r="Q12" s="175"/>
      <c r="R12" s="175"/>
      <c r="S12" s="175"/>
      <c r="T12" s="175" t="b">
        <f>ROUND(SUM(T9:T10),10)=ROUND(T8,10)</f>
        <v>1</v>
      </c>
      <c r="U12" s="175" t="b">
        <f t="shared" ref="U12:BI12" si="1">ROUND(SUM(U9:U10),10)=ROUND(U8,10)</f>
        <v>1</v>
      </c>
      <c r="V12" s="175" t="b">
        <f t="shared" si="1"/>
        <v>1</v>
      </c>
      <c r="W12" s="175" t="b">
        <f t="shared" si="1"/>
        <v>1</v>
      </c>
      <c r="X12" s="175" t="b">
        <f t="shared" si="1"/>
        <v>1</v>
      </c>
      <c r="Y12" s="175" t="b">
        <f t="shared" si="1"/>
        <v>1</v>
      </c>
      <c r="Z12" s="175" t="b">
        <f t="shared" si="1"/>
        <v>1</v>
      </c>
      <c r="AA12" s="175" t="b">
        <f t="shared" si="1"/>
        <v>1</v>
      </c>
      <c r="AB12" s="175" t="b">
        <f t="shared" si="1"/>
        <v>1</v>
      </c>
      <c r="AC12" s="175" t="b">
        <f t="shared" si="1"/>
        <v>1</v>
      </c>
      <c r="AD12" s="175" t="b">
        <f t="shared" si="1"/>
        <v>1</v>
      </c>
      <c r="AE12" s="175" t="b">
        <f t="shared" si="1"/>
        <v>1</v>
      </c>
      <c r="AF12" s="175" t="b">
        <f t="shared" si="1"/>
        <v>1</v>
      </c>
      <c r="AG12" s="175" t="b">
        <f t="shared" si="1"/>
        <v>1</v>
      </c>
      <c r="AH12" s="175" t="b">
        <f t="shared" si="1"/>
        <v>1</v>
      </c>
      <c r="AI12" s="175" t="b">
        <f t="shared" si="1"/>
        <v>1</v>
      </c>
      <c r="AJ12" s="175" t="b">
        <f t="shared" si="1"/>
        <v>1</v>
      </c>
      <c r="AK12" s="175" t="b">
        <f t="shared" si="1"/>
        <v>1</v>
      </c>
      <c r="AL12" s="175" t="b">
        <f t="shared" si="1"/>
        <v>1</v>
      </c>
      <c r="AM12" s="175" t="b">
        <f t="shared" si="1"/>
        <v>1</v>
      </c>
      <c r="AN12" s="175" t="b">
        <f t="shared" si="1"/>
        <v>1</v>
      </c>
      <c r="AO12" s="175" t="b">
        <f t="shared" si="1"/>
        <v>1</v>
      </c>
      <c r="AP12" s="175" t="b">
        <f t="shared" si="1"/>
        <v>1</v>
      </c>
      <c r="AQ12" s="175" t="b">
        <f t="shared" si="1"/>
        <v>1</v>
      </c>
      <c r="AR12" s="175" t="b">
        <f t="shared" si="1"/>
        <v>1</v>
      </c>
      <c r="AS12" s="175" t="b">
        <f t="shared" si="1"/>
        <v>1</v>
      </c>
      <c r="AT12" s="175" t="b">
        <f t="shared" si="1"/>
        <v>1</v>
      </c>
      <c r="AU12" s="175" t="b">
        <f t="shared" si="1"/>
        <v>1</v>
      </c>
      <c r="AV12" s="175" t="b">
        <f t="shared" si="1"/>
        <v>1</v>
      </c>
      <c r="AW12" s="175" t="b">
        <f t="shared" si="1"/>
        <v>1</v>
      </c>
      <c r="AX12" s="175" t="b">
        <f t="shared" si="1"/>
        <v>1</v>
      </c>
      <c r="AY12" s="175" t="b">
        <f t="shared" si="1"/>
        <v>1</v>
      </c>
      <c r="AZ12" s="175" t="b">
        <f t="shared" si="1"/>
        <v>1</v>
      </c>
      <c r="BA12" s="175" t="b">
        <f t="shared" si="1"/>
        <v>1</v>
      </c>
      <c r="BB12" s="175" t="b">
        <f t="shared" si="1"/>
        <v>1</v>
      </c>
      <c r="BC12" s="175" t="b">
        <f t="shared" si="1"/>
        <v>1</v>
      </c>
      <c r="BD12" s="175" t="b">
        <f t="shared" si="1"/>
        <v>1</v>
      </c>
      <c r="BE12" s="175" t="b">
        <f t="shared" si="1"/>
        <v>1</v>
      </c>
      <c r="BF12" s="175" t="b">
        <f t="shared" si="1"/>
        <v>1</v>
      </c>
      <c r="BG12" s="175" t="b">
        <f t="shared" si="1"/>
        <v>1</v>
      </c>
      <c r="BH12" s="175" t="b">
        <f t="shared" si="1"/>
        <v>1</v>
      </c>
      <c r="BI12" s="175" t="b">
        <f t="shared" si="1"/>
        <v>1</v>
      </c>
      <c r="BJ12" s="175" t="b">
        <f t="shared" ref="BJ12" si="2">ROUND(SUM(BJ9:BJ10),10)=ROUND(BJ8,10)</f>
        <v>1</v>
      </c>
    </row>
    <row r="13" spans="1:62">
      <c r="A13" s="166" t="str">
        <f>'VOC eksploatacja samochody'!$A$55</f>
        <v>Struktura floty pojazdów HGV</v>
      </c>
      <c r="B13" s="315"/>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5"/>
      <c r="AH13" s="315"/>
      <c r="AI13" s="315"/>
      <c r="AJ13" s="315"/>
      <c r="AK13" s="315"/>
      <c r="AL13" s="315"/>
      <c r="AM13" s="315"/>
      <c r="AN13" s="315"/>
      <c r="AO13" s="315"/>
      <c r="AP13" s="315"/>
      <c r="AQ13" s="315"/>
      <c r="AR13" s="315"/>
      <c r="AS13" s="315"/>
      <c r="AT13" s="315"/>
      <c r="AU13" s="315"/>
      <c r="AV13" s="315"/>
      <c r="AW13" s="315"/>
      <c r="AX13" s="315"/>
      <c r="AY13" s="315"/>
      <c r="AZ13" s="315"/>
      <c r="BA13" s="315"/>
      <c r="BB13" s="315"/>
      <c r="BC13" s="315"/>
      <c r="BD13" s="315"/>
      <c r="BE13" s="315"/>
      <c r="BF13" s="315"/>
      <c r="BG13" s="315"/>
      <c r="BH13" s="315"/>
      <c r="BI13" s="315"/>
      <c r="BJ13" s="592"/>
    </row>
    <row r="14" spans="1:62">
      <c r="A14" s="9" t="s">
        <v>72</v>
      </c>
      <c r="B14" s="663" t="s">
        <v>0</v>
      </c>
      <c r="C14" s="2"/>
      <c r="D14" s="2"/>
      <c r="E14" s="2"/>
      <c r="F14" s="2"/>
      <c r="G14" s="2"/>
      <c r="H14" s="2"/>
      <c r="I14" s="2"/>
      <c r="J14" s="2"/>
      <c r="K14" s="2"/>
      <c r="L14" s="2"/>
      <c r="M14" s="2"/>
      <c r="N14" s="2"/>
      <c r="O14" s="2"/>
      <c r="P14" s="2"/>
      <c r="Q14" s="6"/>
      <c r="R14" s="6"/>
      <c r="S14" s="6"/>
      <c r="T14" s="6">
        <v>2019</v>
      </c>
      <c r="U14" s="6">
        <f t="shared" ref="U14:BJ14" si="3">T14+1</f>
        <v>2020</v>
      </c>
      <c r="V14" s="6">
        <f t="shared" si="3"/>
        <v>2021</v>
      </c>
      <c r="W14" s="6">
        <f t="shared" si="3"/>
        <v>2022</v>
      </c>
      <c r="X14" s="6">
        <f t="shared" si="3"/>
        <v>2023</v>
      </c>
      <c r="Y14" s="6">
        <f t="shared" si="3"/>
        <v>2024</v>
      </c>
      <c r="Z14" s="6">
        <f t="shared" si="3"/>
        <v>2025</v>
      </c>
      <c r="AA14" s="6">
        <f t="shared" si="3"/>
        <v>2026</v>
      </c>
      <c r="AB14" s="6">
        <f t="shared" si="3"/>
        <v>2027</v>
      </c>
      <c r="AC14" s="6">
        <f t="shared" si="3"/>
        <v>2028</v>
      </c>
      <c r="AD14" s="6">
        <f t="shared" si="3"/>
        <v>2029</v>
      </c>
      <c r="AE14" s="6">
        <f t="shared" si="3"/>
        <v>2030</v>
      </c>
      <c r="AF14" s="6">
        <f t="shared" si="3"/>
        <v>2031</v>
      </c>
      <c r="AG14" s="6">
        <f t="shared" si="3"/>
        <v>2032</v>
      </c>
      <c r="AH14" s="6">
        <f t="shared" si="3"/>
        <v>2033</v>
      </c>
      <c r="AI14" s="6">
        <f t="shared" si="3"/>
        <v>2034</v>
      </c>
      <c r="AJ14" s="6">
        <f t="shared" si="3"/>
        <v>2035</v>
      </c>
      <c r="AK14" s="6">
        <f t="shared" si="3"/>
        <v>2036</v>
      </c>
      <c r="AL14" s="6">
        <f t="shared" si="3"/>
        <v>2037</v>
      </c>
      <c r="AM14" s="6">
        <f t="shared" si="3"/>
        <v>2038</v>
      </c>
      <c r="AN14" s="6">
        <f t="shared" si="3"/>
        <v>2039</v>
      </c>
      <c r="AO14" s="6">
        <f t="shared" si="3"/>
        <v>2040</v>
      </c>
      <c r="AP14" s="6">
        <f t="shared" si="3"/>
        <v>2041</v>
      </c>
      <c r="AQ14" s="6">
        <f t="shared" si="3"/>
        <v>2042</v>
      </c>
      <c r="AR14" s="6">
        <f t="shared" si="3"/>
        <v>2043</v>
      </c>
      <c r="AS14" s="6">
        <f t="shared" si="3"/>
        <v>2044</v>
      </c>
      <c r="AT14" s="6">
        <f t="shared" si="3"/>
        <v>2045</v>
      </c>
      <c r="AU14" s="6">
        <f t="shared" si="3"/>
        <v>2046</v>
      </c>
      <c r="AV14" s="6">
        <f t="shared" si="3"/>
        <v>2047</v>
      </c>
      <c r="AW14" s="6">
        <f t="shared" si="3"/>
        <v>2048</v>
      </c>
      <c r="AX14" s="6">
        <f t="shared" si="3"/>
        <v>2049</v>
      </c>
      <c r="AY14" s="6">
        <f t="shared" si="3"/>
        <v>2050</v>
      </c>
      <c r="AZ14" s="6">
        <f t="shared" si="3"/>
        <v>2051</v>
      </c>
      <c r="BA14" s="6">
        <f t="shared" si="3"/>
        <v>2052</v>
      </c>
      <c r="BB14" s="6">
        <f t="shared" si="3"/>
        <v>2053</v>
      </c>
      <c r="BC14" s="6">
        <f t="shared" si="3"/>
        <v>2054</v>
      </c>
      <c r="BD14" s="6">
        <f t="shared" si="3"/>
        <v>2055</v>
      </c>
      <c r="BE14" s="6">
        <f t="shared" si="3"/>
        <v>2056</v>
      </c>
      <c r="BF14" s="6">
        <f t="shared" si="3"/>
        <v>2057</v>
      </c>
      <c r="BG14" s="6">
        <f t="shared" si="3"/>
        <v>2058</v>
      </c>
      <c r="BH14" s="6">
        <f t="shared" si="3"/>
        <v>2059</v>
      </c>
      <c r="BI14" s="6">
        <f t="shared" si="3"/>
        <v>2060</v>
      </c>
      <c r="BJ14" s="6">
        <f t="shared" si="3"/>
        <v>2061</v>
      </c>
    </row>
    <row r="15" spans="1:62">
      <c r="A15" s="155" t="s">
        <v>89</v>
      </c>
      <c r="B15" s="170"/>
      <c r="C15" s="170"/>
      <c r="D15" s="170"/>
      <c r="E15" s="170"/>
      <c r="F15" s="170"/>
      <c r="G15" s="170"/>
      <c r="H15" s="170"/>
      <c r="I15" s="170"/>
      <c r="J15" s="170"/>
      <c r="K15" s="170"/>
      <c r="L15" s="170"/>
      <c r="M15" s="170"/>
      <c r="N15" s="170"/>
      <c r="O15" s="170"/>
      <c r="P15" s="170"/>
      <c r="Q15" s="170"/>
      <c r="R15" s="170"/>
      <c r="S15" s="171"/>
      <c r="T15" s="172">
        <f>'VOC eksploatacja samochody'!T57</f>
        <v>1</v>
      </c>
      <c r="U15" s="173">
        <f>'VOC eksploatacja samochody'!U57</f>
        <v>1</v>
      </c>
      <c r="V15" s="169">
        <f>'VOC eksploatacja samochody'!V57</f>
        <v>1</v>
      </c>
      <c r="W15" s="169">
        <f>'VOC eksploatacja samochody'!W57</f>
        <v>1</v>
      </c>
      <c r="X15" s="169">
        <f>'VOC eksploatacja samochody'!X57</f>
        <v>1</v>
      </c>
      <c r="Y15" s="169">
        <f>'VOC eksploatacja samochody'!Y57</f>
        <v>1</v>
      </c>
      <c r="Z15" s="169">
        <f>'VOC eksploatacja samochody'!Z57</f>
        <v>1</v>
      </c>
      <c r="AA15" s="169">
        <f>'VOC eksploatacja samochody'!AA57</f>
        <v>1</v>
      </c>
      <c r="AB15" s="169">
        <f>'VOC eksploatacja samochody'!AB57</f>
        <v>1</v>
      </c>
      <c r="AC15" s="169">
        <f>'VOC eksploatacja samochody'!AC57</f>
        <v>1</v>
      </c>
      <c r="AD15" s="169">
        <f>'VOC eksploatacja samochody'!AD57</f>
        <v>1</v>
      </c>
      <c r="AE15" s="172">
        <f>'VOC eksploatacja samochody'!AE57</f>
        <v>1</v>
      </c>
      <c r="AF15" s="169">
        <f>'VOC eksploatacja samochody'!AF57</f>
        <v>1</v>
      </c>
      <c r="AG15" s="169">
        <f>'VOC eksploatacja samochody'!AG57</f>
        <v>1</v>
      </c>
      <c r="AH15" s="169">
        <f>'VOC eksploatacja samochody'!AH57</f>
        <v>1</v>
      </c>
      <c r="AI15" s="169">
        <f>'VOC eksploatacja samochody'!AI57</f>
        <v>1</v>
      </c>
      <c r="AJ15" s="169">
        <f>'VOC eksploatacja samochody'!AJ57</f>
        <v>1</v>
      </c>
      <c r="AK15" s="169">
        <f>'VOC eksploatacja samochody'!AK57</f>
        <v>1</v>
      </c>
      <c r="AL15" s="169">
        <f>'VOC eksploatacja samochody'!AL57</f>
        <v>1</v>
      </c>
      <c r="AM15" s="169">
        <f>'VOC eksploatacja samochody'!AM57</f>
        <v>1</v>
      </c>
      <c r="AN15" s="169">
        <f>'VOC eksploatacja samochody'!AN57</f>
        <v>1</v>
      </c>
      <c r="AO15" s="169">
        <f>'VOC eksploatacja samochody'!AO57</f>
        <v>1</v>
      </c>
      <c r="AP15" s="169">
        <f>'VOC eksploatacja samochody'!AP57</f>
        <v>1</v>
      </c>
      <c r="AQ15" s="169">
        <f>'VOC eksploatacja samochody'!AQ57</f>
        <v>1</v>
      </c>
      <c r="AR15" s="169">
        <f>'VOC eksploatacja samochody'!AR57</f>
        <v>1</v>
      </c>
      <c r="AS15" s="169">
        <f>'VOC eksploatacja samochody'!AS57</f>
        <v>1</v>
      </c>
      <c r="AT15" s="169">
        <f>'VOC eksploatacja samochody'!AT57</f>
        <v>1</v>
      </c>
      <c r="AU15" s="169">
        <f>'VOC eksploatacja samochody'!AU57</f>
        <v>1</v>
      </c>
      <c r="AV15" s="169">
        <f>'VOC eksploatacja samochody'!AV57</f>
        <v>1</v>
      </c>
      <c r="AW15" s="169">
        <f>'VOC eksploatacja samochody'!AW57</f>
        <v>1</v>
      </c>
      <c r="AX15" s="169">
        <f>'VOC eksploatacja samochody'!AX57</f>
        <v>1</v>
      </c>
      <c r="AY15" s="172">
        <f>'VOC eksploatacja samochody'!AY57</f>
        <v>1</v>
      </c>
      <c r="AZ15" s="169">
        <f>'VOC eksploatacja samochody'!AZ57</f>
        <v>1</v>
      </c>
      <c r="BA15" s="169">
        <f>'VOC eksploatacja samochody'!BA57</f>
        <v>1</v>
      </c>
      <c r="BB15" s="169">
        <f>'VOC eksploatacja samochody'!BB57</f>
        <v>1</v>
      </c>
      <c r="BC15" s="169">
        <f>'VOC eksploatacja samochody'!BC57</f>
        <v>1</v>
      </c>
      <c r="BD15" s="169">
        <f>'VOC eksploatacja samochody'!BD57</f>
        <v>1</v>
      </c>
      <c r="BE15" s="169">
        <f>'VOC eksploatacja samochody'!BE57</f>
        <v>1</v>
      </c>
      <c r="BF15" s="169">
        <f>'VOC eksploatacja samochody'!BF57</f>
        <v>1</v>
      </c>
      <c r="BG15" s="169">
        <f>'VOC eksploatacja samochody'!BG57</f>
        <v>1</v>
      </c>
      <c r="BH15" s="169">
        <f>'VOC eksploatacja samochody'!BH57</f>
        <v>1</v>
      </c>
      <c r="BI15" s="169">
        <f>'VOC eksploatacja samochody'!BI57</f>
        <v>1</v>
      </c>
      <c r="BJ15" s="169">
        <f>'VOC eksploatacja samochody'!BJ57</f>
        <v>1</v>
      </c>
    </row>
    <row r="16" spans="1:62">
      <c r="A16" s="155" t="s">
        <v>77</v>
      </c>
      <c r="B16" s="170"/>
      <c r="C16" s="170"/>
      <c r="D16" s="170"/>
      <c r="E16" s="170"/>
      <c r="F16" s="170"/>
      <c r="G16" s="170"/>
      <c r="H16" s="170"/>
      <c r="I16" s="170"/>
      <c r="J16" s="170"/>
      <c r="K16" s="170"/>
      <c r="L16" s="170"/>
      <c r="M16" s="170"/>
      <c r="N16" s="170"/>
      <c r="O16" s="170"/>
      <c r="P16" s="170"/>
      <c r="Q16" s="170"/>
      <c r="R16" s="170"/>
      <c r="S16" s="171"/>
      <c r="T16" s="172">
        <f>'VOC eksploatacja samochody'!T58</f>
        <v>0</v>
      </c>
      <c r="U16" s="173">
        <f>'VOC eksploatacja samochody'!U58</f>
        <v>0</v>
      </c>
      <c r="V16" s="169">
        <f>'VOC eksploatacja samochody'!V58</f>
        <v>0</v>
      </c>
      <c r="W16" s="169">
        <f>'VOC eksploatacja samochody'!W58</f>
        <v>0</v>
      </c>
      <c r="X16" s="169">
        <f>'VOC eksploatacja samochody'!X58</f>
        <v>0</v>
      </c>
      <c r="Y16" s="169">
        <f>'VOC eksploatacja samochody'!Y58</f>
        <v>0</v>
      </c>
      <c r="Z16" s="169">
        <f>'VOC eksploatacja samochody'!Z58</f>
        <v>0</v>
      </c>
      <c r="AA16" s="169">
        <f>'VOC eksploatacja samochody'!AA58</f>
        <v>0</v>
      </c>
      <c r="AB16" s="169">
        <f>'VOC eksploatacja samochody'!AB58</f>
        <v>0</v>
      </c>
      <c r="AC16" s="169">
        <f>'VOC eksploatacja samochody'!AC58</f>
        <v>0</v>
      </c>
      <c r="AD16" s="169">
        <f>'VOC eksploatacja samochody'!AD58</f>
        <v>0</v>
      </c>
      <c r="AE16" s="172">
        <f>'VOC eksploatacja samochody'!AE58</f>
        <v>0</v>
      </c>
      <c r="AF16" s="169">
        <f>'VOC eksploatacja samochody'!AF58</f>
        <v>0</v>
      </c>
      <c r="AG16" s="169">
        <f>'VOC eksploatacja samochody'!AG58</f>
        <v>0</v>
      </c>
      <c r="AH16" s="169">
        <f>'VOC eksploatacja samochody'!AH58</f>
        <v>0</v>
      </c>
      <c r="AI16" s="169">
        <f>'VOC eksploatacja samochody'!AI58</f>
        <v>0</v>
      </c>
      <c r="AJ16" s="169">
        <f>'VOC eksploatacja samochody'!AJ58</f>
        <v>0</v>
      </c>
      <c r="AK16" s="169">
        <f>'VOC eksploatacja samochody'!AK58</f>
        <v>0</v>
      </c>
      <c r="AL16" s="169">
        <f>'VOC eksploatacja samochody'!AL58</f>
        <v>0</v>
      </c>
      <c r="AM16" s="169">
        <f>'VOC eksploatacja samochody'!AM58</f>
        <v>0</v>
      </c>
      <c r="AN16" s="169">
        <f>'VOC eksploatacja samochody'!AN58</f>
        <v>0</v>
      </c>
      <c r="AO16" s="169">
        <f>'VOC eksploatacja samochody'!AO58</f>
        <v>0</v>
      </c>
      <c r="AP16" s="169">
        <f>'VOC eksploatacja samochody'!AP58</f>
        <v>0</v>
      </c>
      <c r="AQ16" s="169">
        <f>'VOC eksploatacja samochody'!AQ58</f>
        <v>0</v>
      </c>
      <c r="AR16" s="169">
        <f>'VOC eksploatacja samochody'!AR58</f>
        <v>0</v>
      </c>
      <c r="AS16" s="169">
        <f>'VOC eksploatacja samochody'!AS58</f>
        <v>0</v>
      </c>
      <c r="AT16" s="169">
        <f>'VOC eksploatacja samochody'!AT58</f>
        <v>0</v>
      </c>
      <c r="AU16" s="169">
        <f>'VOC eksploatacja samochody'!AU58</f>
        <v>0</v>
      </c>
      <c r="AV16" s="169">
        <f>'VOC eksploatacja samochody'!AV58</f>
        <v>0</v>
      </c>
      <c r="AW16" s="169">
        <f>'VOC eksploatacja samochody'!AW58</f>
        <v>0</v>
      </c>
      <c r="AX16" s="169">
        <f>'VOC eksploatacja samochody'!AX58</f>
        <v>0</v>
      </c>
      <c r="AY16" s="172">
        <f>'VOC eksploatacja samochody'!AY58</f>
        <v>0</v>
      </c>
      <c r="AZ16" s="169">
        <f>'VOC eksploatacja samochody'!AZ58</f>
        <v>0</v>
      </c>
      <c r="BA16" s="169">
        <f>'VOC eksploatacja samochody'!BA58</f>
        <v>0</v>
      </c>
      <c r="BB16" s="169">
        <f>'VOC eksploatacja samochody'!BB58</f>
        <v>0</v>
      </c>
      <c r="BC16" s="169">
        <f>'VOC eksploatacja samochody'!BC58</f>
        <v>0</v>
      </c>
      <c r="BD16" s="169">
        <f>'VOC eksploatacja samochody'!BD58</f>
        <v>0</v>
      </c>
      <c r="BE16" s="169">
        <f>'VOC eksploatacja samochody'!BE58</f>
        <v>0</v>
      </c>
      <c r="BF16" s="169">
        <f>'VOC eksploatacja samochody'!BF58</f>
        <v>0</v>
      </c>
      <c r="BG16" s="169">
        <f>'VOC eksploatacja samochody'!BG58</f>
        <v>0</v>
      </c>
      <c r="BH16" s="169">
        <f>'VOC eksploatacja samochody'!BH58</f>
        <v>0</v>
      </c>
      <c r="BI16" s="169">
        <f>'VOC eksploatacja samochody'!BI58</f>
        <v>0</v>
      </c>
      <c r="BJ16" s="169">
        <f>'VOC eksploatacja samochody'!BJ58</f>
        <v>0</v>
      </c>
    </row>
    <row r="17" spans="1:22"/>
    <row r="18" spans="1:22">
      <c r="A18" s="754" t="str">
        <f>'VOC eksploatacja samochody'!$A$60</f>
        <v xml:space="preserve">W poniższych tabelach dane dla pojazdów drogowych spalinowych dotyczą całości reprezentatywnej floty pojazdów w Polsce z 2019 roku, z uwzględnieniem wszystkich rodzajów paliw. </v>
      </c>
      <c r="B18" s="754"/>
      <c r="C18" s="754"/>
      <c r="D18" s="754"/>
      <c r="E18" s="754"/>
      <c r="F18" s="754"/>
      <c r="G18" s="754"/>
      <c r="H18" s="754"/>
      <c r="I18" s="754"/>
      <c r="J18" s="754"/>
      <c r="K18" s="754"/>
      <c r="L18" s="754"/>
      <c r="M18" s="754"/>
      <c r="N18" s="754"/>
      <c r="O18" s="754"/>
      <c r="P18" s="754"/>
      <c r="Q18" s="754"/>
      <c r="R18" s="754"/>
      <c r="S18" s="754"/>
      <c r="T18" s="754"/>
      <c r="U18" s="754"/>
      <c r="V18" s="754"/>
    </row>
    <row r="19" spans="1:22" s="668" customFormat="1">
      <c r="A19" s="754"/>
      <c r="B19" s="754"/>
      <c r="C19" s="754"/>
      <c r="D19" s="754"/>
      <c r="E19" s="754"/>
      <c r="F19" s="754"/>
      <c r="G19" s="754"/>
      <c r="H19" s="754"/>
      <c r="I19" s="754"/>
      <c r="J19" s="754"/>
      <c r="K19" s="754"/>
      <c r="L19" s="754"/>
      <c r="M19" s="754"/>
      <c r="N19" s="754"/>
      <c r="O19" s="754"/>
      <c r="P19" s="754"/>
      <c r="Q19" s="754"/>
      <c r="R19" s="754"/>
      <c r="S19" s="754"/>
      <c r="T19" s="754"/>
      <c r="U19" s="754"/>
      <c r="V19" s="754"/>
    </row>
    <row r="20" spans="1:22">
      <c r="A20" s="754" t="str">
        <f>'VOC eksploatacja samochody'!$A$62</f>
        <v xml:space="preserve">Dla uproszczenia należy przyjąć, że aktualnie udział pojazdów elektrycznych (w tym również hybrydowych-elektrycznych) w całej flocie pojazdów poruszających się po drogach w Polsce wynosi 0%. </v>
      </c>
      <c r="B20" s="754"/>
      <c r="C20" s="754"/>
      <c r="D20" s="754"/>
      <c r="E20" s="754"/>
      <c r="F20" s="754"/>
      <c r="G20" s="754"/>
      <c r="H20" s="754"/>
      <c r="I20" s="754"/>
      <c r="J20" s="754"/>
      <c r="K20" s="754"/>
      <c r="L20" s="754"/>
      <c r="M20" s="754"/>
      <c r="N20" s="754"/>
      <c r="O20" s="754"/>
      <c r="P20" s="754"/>
      <c r="Q20" s="754"/>
      <c r="R20" s="754"/>
      <c r="S20" s="754"/>
      <c r="T20" s="754"/>
      <c r="U20" s="754"/>
      <c r="V20" s="754"/>
    </row>
    <row r="21" spans="1:22" s="668" customFormat="1">
      <c r="A21" s="754"/>
      <c r="B21" s="754"/>
      <c r="C21" s="754"/>
      <c r="D21" s="754"/>
      <c r="E21" s="754"/>
      <c r="F21" s="754"/>
      <c r="G21" s="754"/>
      <c r="H21" s="754"/>
      <c r="I21" s="754"/>
      <c r="J21" s="754"/>
      <c r="K21" s="754"/>
      <c r="L21" s="754"/>
      <c r="M21" s="754"/>
      <c r="N21" s="754"/>
      <c r="O21" s="754"/>
      <c r="P21" s="754"/>
      <c r="Q21" s="754"/>
      <c r="R21" s="754"/>
      <c r="S21" s="754"/>
      <c r="T21" s="754"/>
      <c r="U21" s="754"/>
      <c r="V21" s="754"/>
    </row>
    <row r="22" spans="1:22">
      <c r="A22" s="315"/>
    </row>
    <row r="23" spans="1:22">
      <c r="A23" s="315" t="str">
        <f>'VOC eksploatacja samochody'!$A$65</f>
        <v xml:space="preserve">Dla potrzeb analizy projektów przedstawianych do oceny przez CUPT należy przyjąć następujące założenia: </v>
      </c>
    </row>
    <row r="24" spans="1:22">
      <c r="A24" s="125" t="str">
        <f>'VOC eksploatacja samochody'!$A$66</f>
        <v xml:space="preserve">Wskaźniki zużycia paliwa przez pojazdy spalinowe (łącznie dla wszystkich rodzajów paliw) pozostaną na wyjściowym poziomie (2019). </v>
      </c>
    </row>
    <row r="25" spans="1:22">
      <c r="A25" s="125" t="str">
        <f>'VOC eksploatacja samochody'!$A$67</f>
        <v xml:space="preserve">Aktualnie flota pojazdów drogowych składa się w 100% zpojazdów spalinowych i 0% pojazdów elektrycznych. </v>
      </c>
    </row>
    <row r="26" spans="1:22">
      <c r="A26" s="821" t="str">
        <f>'VOC eksploatacja samochody'!$A$68</f>
        <v xml:space="preserve">We flocie samochodów osobowych udziały pojazdów elektrycznych będą rosły, a pojazdów spalinowych – malały (w tym samym tempie dla wszystkich rodzajów paliw), zgodnie z przyjętym scenariuszem prognoz. </v>
      </c>
      <c r="B26" s="821"/>
      <c r="C26" s="821"/>
      <c r="D26" s="821"/>
      <c r="E26" s="821"/>
      <c r="F26" s="821"/>
      <c r="G26" s="821"/>
      <c r="H26" s="821"/>
      <c r="I26" s="821"/>
      <c r="J26" s="821"/>
      <c r="K26" s="821"/>
      <c r="L26" s="821"/>
      <c r="M26" s="821"/>
      <c r="N26" s="821"/>
      <c r="O26" s="821"/>
      <c r="P26" s="821"/>
      <c r="Q26" s="821"/>
      <c r="R26" s="821"/>
      <c r="S26" s="821"/>
      <c r="T26" s="821"/>
      <c r="U26" s="821"/>
      <c r="V26" s="821"/>
    </row>
    <row r="27" spans="1:22" s="668" customFormat="1">
      <c r="A27" s="821"/>
      <c r="B27" s="821"/>
      <c r="C27" s="821"/>
      <c r="D27" s="821"/>
      <c r="E27" s="821"/>
      <c r="F27" s="821"/>
      <c r="G27" s="821"/>
      <c r="H27" s="821"/>
      <c r="I27" s="821"/>
      <c r="J27" s="821"/>
      <c r="K27" s="821"/>
      <c r="L27" s="821"/>
      <c r="M27" s="821"/>
      <c r="N27" s="821"/>
      <c r="O27" s="821"/>
      <c r="P27" s="821"/>
      <c r="Q27" s="821"/>
      <c r="R27" s="821"/>
      <c r="S27" s="821"/>
      <c r="T27" s="821"/>
      <c r="U27" s="821"/>
      <c r="V27" s="821"/>
    </row>
    <row r="28" spans="1:22">
      <c r="A28" s="821" t="str">
        <f>'VOC eksploatacja samochody'!$A$70</f>
        <v xml:space="preserve">Pomiędzy stanem aktualnym i rokiem 2030, a następnie pomiędzy latami scenariusza 2030 i 2050, udziały będą się zmieniały według interpolacji liniowej. Dla dalszych lat należy przyjąć strukturę jak w roku 2050. </v>
      </c>
      <c r="B28" s="821"/>
      <c r="C28" s="821"/>
      <c r="D28" s="821"/>
      <c r="E28" s="821"/>
      <c r="F28" s="821"/>
      <c r="G28" s="821"/>
      <c r="H28" s="821"/>
      <c r="I28" s="821"/>
      <c r="J28" s="821"/>
      <c r="K28" s="821"/>
      <c r="L28" s="821"/>
      <c r="M28" s="821"/>
      <c r="N28" s="821"/>
      <c r="O28" s="821"/>
      <c r="P28" s="821"/>
      <c r="Q28" s="821"/>
      <c r="R28" s="821"/>
      <c r="S28" s="821"/>
      <c r="T28" s="821"/>
      <c r="U28" s="821"/>
      <c r="V28" s="821"/>
    </row>
    <row r="29" spans="1:22" s="668" customFormat="1">
      <c r="A29" s="821"/>
      <c r="B29" s="821"/>
      <c r="C29" s="821"/>
      <c r="D29" s="821"/>
      <c r="E29" s="821"/>
      <c r="F29" s="821"/>
      <c r="G29" s="821"/>
      <c r="H29" s="821"/>
      <c r="I29" s="821"/>
      <c r="J29" s="821"/>
      <c r="K29" s="821"/>
      <c r="L29" s="821"/>
      <c r="M29" s="821"/>
      <c r="N29" s="821"/>
      <c r="O29" s="821"/>
      <c r="P29" s="821"/>
      <c r="Q29" s="821"/>
      <c r="R29" s="821"/>
      <c r="S29" s="821"/>
      <c r="T29" s="821"/>
      <c r="U29" s="821"/>
      <c r="V29" s="821"/>
    </row>
    <row r="30" spans="1:22">
      <c r="A30" s="592"/>
    </row>
    <row r="31" spans="1:22"/>
    <row r="32" spans="1:22"/>
    <row r="33" spans="1:22" hidden="1" outlineLevel="1">
      <c r="A33" s="1" t="s">
        <v>231</v>
      </c>
      <c r="B33" s="315"/>
      <c r="C33" s="315"/>
      <c r="D33" s="315"/>
      <c r="E33" s="315"/>
      <c r="F33" s="315"/>
      <c r="G33" s="315"/>
      <c r="H33" s="315"/>
      <c r="I33" s="315"/>
      <c r="J33" s="315"/>
      <c r="K33" s="315"/>
      <c r="L33" s="315"/>
      <c r="M33" s="315"/>
      <c r="N33" s="315"/>
      <c r="O33" s="315"/>
      <c r="P33" s="315"/>
      <c r="Q33" s="315"/>
      <c r="R33" s="315"/>
    </row>
    <row r="34" spans="1:22" s="350" customFormat="1" hidden="1" outlineLevel="1">
      <c r="A34" s="1"/>
      <c r="P34" s="833" t="s">
        <v>191</v>
      </c>
      <c r="Q34" s="834"/>
      <c r="R34" s="835"/>
      <c r="T34" s="833" t="s">
        <v>62</v>
      </c>
      <c r="U34" s="834"/>
      <c r="V34" s="835"/>
    </row>
    <row r="35" spans="1:22" ht="45" hidden="1" customHeight="1" outlineLevel="1">
      <c r="A35" s="222"/>
      <c r="B35" s="224" t="s">
        <v>120</v>
      </c>
      <c r="C35" s="223"/>
      <c r="D35" s="223"/>
      <c r="E35" s="223"/>
      <c r="F35" s="223"/>
      <c r="G35" s="223"/>
      <c r="H35" s="223"/>
      <c r="I35" s="223"/>
      <c r="J35" s="223"/>
      <c r="K35" s="223"/>
      <c r="L35" s="223"/>
      <c r="M35" s="223"/>
      <c r="N35" s="223"/>
      <c r="O35" s="223"/>
      <c r="P35" s="224" t="s">
        <v>708</v>
      </c>
      <c r="Q35" s="224" t="s">
        <v>709</v>
      </c>
      <c r="R35" s="224" t="s">
        <v>710</v>
      </c>
      <c r="S35" s="390" t="s">
        <v>223</v>
      </c>
      <c r="T35" s="224" t="s">
        <v>708</v>
      </c>
      <c r="U35" s="224" t="s">
        <v>709</v>
      </c>
      <c r="V35" s="224" t="s">
        <v>710</v>
      </c>
    </row>
    <row r="36" spans="1:22" hidden="1" outlineLevel="1">
      <c r="A36" s="236" t="s">
        <v>123</v>
      </c>
      <c r="B36" s="237"/>
      <c r="C36" s="238"/>
      <c r="D36" s="238"/>
      <c r="E36" s="238"/>
      <c r="F36" s="238"/>
      <c r="G36" s="238"/>
      <c r="H36" s="238"/>
      <c r="I36" s="238"/>
      <c r="J36" s="238"/>
      <c r="K36" s="238"/>
      <c r="L36" s="238"/>
      <c r="M36" s="238"/>
      <c r="N36" s="238"/>
      <c r="O36" s="238"/>
      <c r="P36" s="381">
        <f>P37*($T$9/SUM($T$9:$T$10))+P38*($T$10/SUM($T$9:$T$10))</f>
        <v>0.7614208350754047</v>
      </c>
      <c r="Q36" s="381">
        <f t="shared" ref="Q36:R36" si="4">Q37*($T$9/SUM($T$9:$T$10))+Q38*($T$10/SUM($T$9:$T$10))</f>
        <v>1.0131212583519753</v>
      </c>
      <c r="R36" s="381">
        <f t="shared" si="4"/>
        <v>0.52775916910055209</v>
      </c>
      <c r="S36" s="419">
        <f>R61</f>
        <v>6.8467417808716166E-2</v>
      </c>
      <c r="T36" s="381">
        <f>P36*(100%+$S36)</f>
        <v>0.813553353518774</v>
      </c>
      <c r="U36" s="381">
        <f t="shared" ref="U36:V36" si="5">Q36*(100%+$S36)</f>
        <v>1.0824870548384522</v>
      </c>
      <c r="V36" s="381">
        <f t="shared" si="5"/>
        <v>0.56389347663374045</v>
      </c>
    </row>
    <row r="37" spans="1:22" hidden="1" outlineLevel="1">
      <c r="A37" s="239" t="s">
        <v>76</v>
      </c>
      <c r="B37" s="240"/>
      <c r="C37" s="240"/>
      <c r="D37" s="240"/>
      <c r="E37" s="240"/>
      <c r="F37" s="240"/>
      <c r="G37" s="240"/>
      <c r="H37" s="240"/>
      <c r="I37" s="240"/>
      <c r="J37" s="240"/>
      <c r="K37" s="240"/>
      <c r="L37" s="240"/>
      <c r="M37" s="240"/>
      <c r="N37" s="240"/>
      <c r="O37" s="240"/>
      <c r="P37" s="425">
        <v>0.43524409976443745</v>
      </c>
      <c r="Q37" s="425">
        <v>0.51477019935298374</v>
      </c>
      <c r="R37" s="425">
        <v>0.32264734419046559</v>
      </c>
      <c r="S37" s="420">
        <f t="shared" ref="S37:S38" si="6">R62</f>
        <v>0.95921725645667899</v>
      </c>
      <c r="T37" s="425">
        <f t="shared" ref="T37:T41" si="7">P37*(100%+$S37)</f>
        <v>0.85273775102943827</v>
      </c>
      <c r="U37" s="425">
        <f t="shared" ref="U37:U41" si="8">Q37*(100%+$S37)</f>
        <v>1.0085466576820106</v>
      </c>
      <c r="V37" s="425">
        <f t="shared" ref="V37:V41" si="9">R37*(100%+$S37)</f>
        <v>0.63213624448787775</v>
      </c>
    </row>
    <row r="38" spans="1:22" hidden="1" outlineLevel="1">
      <c r="A38" s="241" t="s">
        <v>73</v>
      </c>
      <c r="B38" s="242"/>
      <c r="C38" s="242"/>
      <c r="D38" s="242"/>
      <c r="E38" s="242"/>
      <c r="F38" s="242"/>
      <c r="G38" s="242"/>
      <c r="H38" s="242"/>
      <c r="I38" s="242"/>
      <c r="J38" s="242"/>
      <c r="K38" s="242"/>
      <c r="L38" s="242"/>
      <c r="M38" s="242"/>
      <c r="N38" s="242"/>
      <c r="O38" s="242"/>
      <c r="P38" s="426">
        <v>1.4514849246343369</v>
      </c>
      <c r="Q38" s="426">
        <v>2.0674397690851527</v>
      </c>
      <c r="R38" s="426">
        <v>0.96169663119272031</v>
      </c>
      <c r="S38" s="421">
        <f t="shared" si="6"/>
        <v>-0.1808599360528528</v>
      </c>
      <c r="T38" s="426">
        <f t="shared" si="7"/>
        <v>1.1889694539832909</v>
      </c>
      <c r="U38" s="426">
        <f t="shared" si="8"/>
        <v>1.6935227446552872</v>
      </c>
      <c r="V38" s="426">
        <f t="shared" si="9"/>
        <v>0.78776423997296097</v>
      </c>
    </row>
    <row r="39" spans="1:22" hidden="1" outlineLevel="1">
      <c r="A39" s="226" t="s">
        <v>77</v>
      </c>
      <c r="B39" s="227"/>
      <c r="C39" s="227"/>
      <c r="D39" s="227"/>
      <c r="E39" s="227"/>
      <c r="F39" s="227"/>
      <c r="G39" s="227"/>
      <c r="H39" s="227"/>
      <c r="I39" s="227"/>
      <c r="J39" s="227"/>
      <c r="K39" s="227"/>
      <c r="L39" s="227"/>
      <c r="M39" s="227"/>
      <c r="N39" s="227"/>
      <c r="O39" s="227"/>
      <c r="P39" s="427">
        <v>9.9366374909877889E-2</v>
      </c>
      <c r="Q39" s="427">
        <v>7.8629923127591525E-2</v>
      </c>
      <c r="R39" s="427">
        <v>7.120013583451501E-2</v>
      </c>
      <c r="S39" s="422">
        <v>0</v>
      </c>
      <c r="T39" s="427">
        <f t="shared" si="7"/>
        <v>9.9366374909877889E-2</v>
      </c>
      <c r="U39" s="427">
        <f t="shared" si="8"/>
        <v>7.8629923127591525E-2</v>
      </c>
      <c r="V39" s="427">
        <f t="shared" si="9"/>
        <v>7.120013583451501E-2</v>
      </c>
    </row>
    <row r="40" spans="1:22" ht="30" hidden="1" outlineLevel="1">
      <c r="A40" s="318" t="s">
        <v>151</v>
      </c>
      <c r="B40" s="225"/>
      <c r="C40" s="13"/>
      <c r="D40" s="13"/>
      <c r="E40" s="13"/>
      <c r="F40" s="13"/>
      <c r="G40" s="13"/>
      <c r="H40" s="13"/>
      <c r="I40" s="13"/>
      <c r="J40" s="13"/>
      <c r="K40" s="13"/>
      <c r="L40" s="13"/>
      <c r="M40" s="13"/>
      <c r="N40" s="13"/>
      <c r="O40" s="13"/>
      <c r="P40" s="374">
        <v>7.2345883926701893</v>
      </c>
      <c r="Q40" s="374">
        <v>17.755220090995142</v>
      </c>
      <c r="R40" s="374">
        <v>7.03491664945658</v>
      </c>
      <c r="S40" s="375">
        <f>R64</f>
        <v>-0.20300451438497108</v>
      </c>
      <c r="T40" s="374">
        <f t="shared" si="7"/>
        <v>5.765934289241029</v>
      </c>
      <c r="U40" s="374">
        <f t="shared" si="8"/>
        <v>14.150830258624392</v>
      </c>
      <c r="V40" s="374">
        <f t="shared" si="9"/>
        <v>5.6067968112948998</v>
      </c>
    </row>
    <row r="41" spans="1:22" hidden="1" outlineLevel="1">
      <c r="A41" s="236" t="s">
        <v>122</v>
      </c>
      <c r="B41" s="237"/>
      <c r="C41" s="238"/>
      <c r="D41" s="238"/>
      <c r="E41" s="238"/>
      <c r="F41" s="238"/>
      <c r="G41" s="238"/>
      <c r="H41" s="238"/>
      <c r="I41" s="238"/>
      <c r="J41" s="238"/>
      <c r="K41" s="238"/>
      <c r="L41" s="238"/>
      <c r="M41" s="238"/>
      <c r="N41" s="238"/>
      <c r="O41" s="238"/>
      <c r="P41" s="381">
        <v>8.2522034344619701</v>
      </c>
      <c r="Q41" s="381">
        <v>26.741643498891275</v>
      </c>
      <c r="R41" s="381">
        <v>8.6409576433226452</v>
      </c>
      <c r="S41" s="419">
        <f>R65</f>
        <v>-7.2544531021300762E-2</v>
      </c>
      <c r="T41" s="381">
        <f t="shared" si="7"/>
        <v>7.6535512064165587</v>
      </c>
      <c r="U41" s="381">
        <f t="shared" si="8"/>
        <v>24.80168351252539</v>
      </c>
      <c r="V41" s="381">
        <f t="shared" si="9"/>
        <v>8.0141034235128803</v>
      </c>
    </row>
    <row r="42" spans="1:22" hidden="1" outlineLevel="1">
      <c r="A42" s="239" t="s">
        <v>73</v>
      </c>
      <c r="B42" s="240"/>
      <c r="C42" s="240"/>
      <c r="D42" s="240"/>
      <c r="E42" s="240"/>
      <c r="F42" s="240"/>
      <c r="G42" s="240"/>
      <c r="H42" s="240"/>
      <c r="I42" s="240"/>
      <c r="J42" s="240"/>
      <c r="K42" s="240"/>
      <c r="L42" s="240"/>
      <c r="M42" s="240"/>
      <c r="N42" s="240"/>
      <c r="O42" s="240"/>
      <c r="P42" s="425">
        <v>8.286656850730413</v>
      </c>
      <c r="Q42" s="425">
        <v>27.029293621338404</v>
      </c>
      <c r="R42" s="425">
        <v>8.6886450746161739</v>
      </c>
      <c r="S42" s="420" t="s">
        <v>204</v>
      </c>
      <c r="T42" s="425"/>
      <c r="U42" s="425"/>
      <c r="V42" s="425"/>
    </row>
    <row r="43" spans="1:22" hidden="1" outlineLevel="1">
      <c r="A43" s="241" t="s">
        <v>121</v>
      </c>
      <c r="B43" s="242"/>
      <c r="C43" s="242"/>
      <c r="D43" s="242"/>
      <c r="E43" s="242"/>
      <c r="F43" s="242"/>
      <c r="G43" s="242"/>
      <c r="H43" s="242"/>
      <c r="I43" s="242"/>
      <c r="J43" s="242"/>
      <c r="K43" s="242"/>
      <c r="L43" s="242"/>
      <c r="M43" s="242"/>
      <c r="N43" s="242"/>
      <c r="O43" s="242"/>
      <c r="P43" s="426">
        <v>6.7042317082362297</v>
      </c>
      <c r="Q43" s="426">
        <v>13.817692703296029</v>
      </c>
      <c r="R43" s="426">
        <v>6.4983894067345407</v>
      </c>
      <c r="S43" s="421" t="s">
        <v>204</v>
      </c>
      <c r="T43" s="426"/>
      <c r="U43" s="426"/>
      <c r="V43" s="426"/>
    </row>
    <row r="44" spans="1:22" hidden="1" outlineLevel="1">
      <c r="A44" s="226" t="s">
        <v>77</v>
      </c>
      <c r="B44" s="227"/>
      <c r="C44" s="227"/>
      <c r="D44" s="227"/>
      <c r="E44" s="227"/>
      <c r="F44" s="227"/>
      <c r="G44" s="227"/>
      <c r="H44" s="227"/>
      <c r="I44" s="227"/>
      <c r="J44" s="227"/>
      <c r="K44" s="227"/>
      <c r="L44" s="227"/>
      <c r="M44" s="227"/>
      <c r="N44" s="227"/>
      <c r="O44" s="227"/>
      <c r="P44" s="427">
        <v>0.18640304356813431</v>
      </c>
      <c r="Q44" s="427">
        <v>0.62538300037383965</v>
      </c>
      <c r="R44" s="427">
        <v>0.26822627209126854</v>
      </c>
      <c r="S44" s="422">
        <v>0</v>
      </c>
      <c r="T44" s="427">
        <f t="shared" ref="T44:T49" si="10">P44*(100%+$S44)</f>
        <v>0.18640304356813431</v>
      </c>
      <c r="U44" s="427">
        <f t="shared" ref="U44:U49" si="11">Q44*(100%+$S44)</f>
        <v>0.62538300037383965</v>
      </c>
      <c r="V44" s="427">
        <f t="shared" ref="V44:V49" si="12">R44*(100%+$S44)</f>
        <v>0.26822627209126854</v>
      </c>
    </row>
    <row r="45" spans="1:22" s="350" customFormat="1" hidden="1" outlineLevel="1">
      <c r="A45" s="337" t="s">
        <v>178</v>
      </c>
      <c r="B45" s="225"/>
      <c r="C45" s="13"/>
      <c r="D45" s="13"/>
      <c r="E45" s="13"/>
      <c r="F45" s="13"/>
      <c r="G45" s="13"/>
      <c r="H45" s="13"/>
      <c r="I45" s="13"/>
      <c r="J45" s="13"/>
      <c r="K45" s="13"/>
      <c r="L45" s="13"/>
      <c r="M45" s="13"/>
      <c r="N45" s="13"/>
      <c r="O45" s="13"/>
      <c r="P45" s="374">
        <v>7.8132105360006419</v>
      </c>
      <c r="Q45" s="374">
        <v>29.800837221956535</v>
      </c>
      <c r="R45" s="374">
        <v>8.4407791920715596</v>
      </c>
      <c r="S45" s="375">
        <f>R66</f>
        <v>-8.2126034000785095E-2</v>
      </c>
      <c r="T45" s="374">
        <f t="shared" si="10"/>
        <v>7.1715425418657608</v>
      </c>
      <c r="U45" s="374">
        <f t="shared" si="11"/>
        <v>27.353412651014271</v>
      </c>
      <c r="V45" s="374">
        <f t="shared" si="12"/>
        <v>7.7475714731503711</v>
      </c>
    </row>
    <row r="46" spans="1:22" s="350" customFormat="1" hidden="1" outlineLevel="1">
      <c r="A46" s="236" t="s">
        <v>179</v>
      </c>
      <c r="B46" s="237"/>
      <c r="C46" s="238"/>
      <c r="D46" s="238"/>
      <c r="E46" s="238"/>
      <c r="F46" s="238"/>
      <c r="G46" s="238"/>
      <c r="H46" s="238"/>
      <c r="I46" s="238"/>
      <c r="J46" s="238"/>
      <c r="K46" s="238"/>
      <c r="L46" s="238"/>
      <c r="M46" s="238"/>
      <c r="N46" s="238"/>
      <c r="O46" s="238"/>
      <c r="P46" s="381">
        <v>2.0223380126054575</v>
      </c>
      <c r="Q46" s="381">
        <v>2.4959643791889463</v>
      </c>
      <c r="R46" s="381">
        <v>1.2299430109182614</v>
      </c>
      <c r="S46" s="423">
        <f t="shared" ref="S46:S48" si="13">R67</f>
        <v>-0.18763782220990777</v>
      </c>
      <c r="T46" s="381">
        <f t="shared" si="10"/>
        <v>1.6428709121478564</v>
      </c>
      <c r="U46" s="381">
        <f t="shared" si="11"/>
        <v>2.0276270587644278</v>
      </c>
      <c r="V46" s="381">
        <f t="shared" si="12"/>
        <v>0.99915918290726202</v>
      </c>
    </row>
    <row r="47" spans="1:22" s="350" customFormat="1" hidden="1" outlineLevel="1">
      <c r="A47" s="239" t="s">
        <v>76</v>
      </c>
      <c r="B47" s="240"/>
      <c r="C47" s="240"/>
      <c r="D47" s="240"/>
      <c r="E47" s="240"/>
      <c r="F47" s="240"/>
      <c r="G47" s="240"/>
      <c r="H47" s="240"/>
      <c r="I47" s="240"/>
      <c r="J47" s="240"/>
      <c r="K47" s="240"/>
      <c r="L47" s="240"/>
      <c r="M47" s="240"/>
      <c r="N47" s="240"/>
      <c r="O47" s="240"/>
      <c r="P47" s="425">
        <v>0.52270242631969277</v>
      </c>
      <c r="Q47" s="425">
        <v>0.59269424443816709</v>
      </c>
      <c r="R47" s="425">
        <v>0.39104942125749104</v>
      </c>
      <c r="S47" s="420">
        <f t="shared" si="13"/>
        <v>-6.3258357395432771E-2</v>
      </c>
      <c r="T47" s="425">
        <f t="shared" si="10"/>
        <v>0.48963712942410181</v>
      </c>
      <c r="U47" s="425">
        <f t="shared" si="11"/>
        <v>0.55520138009728159</v>
      </c>
      <c r="V47" s="425">
        <f t="shared" si="12"/>
        <v>0.36631227720830756</v>
      </c>
    </row>
    <row r="48" spans="1:22" s="350" customFormat="1" hidden="1" outlineLevel="1">
      <c r="A48" s="241" t="s">
        <v>73</v>
      </c>
      <c r="B48" s="242"/>
      <c r="C48" s="242"/>
      <c r="D48" s="242"/>
      <c r="E48" s="242"/>
      <c r="F48" s="242"/>
      <c r="G48" s="242"/>
      <c r="H48" s="242"/>
      <c r="I48" s="242"/>
      <c r="J48" s="242"/>
      <c r="K48" s="242"/>
      <c r="L48" s="242"/>
      <c r="M48" s="242"/>
      <c r="N48" s="242"/>
      <c r="O48" s="242"/>
      <c r="P48" s="426">
        <v>2.4665496889788314</v>
      </c>
      <c r="Q48" s="426">
        <v>3.0597378884873012</v>
      </c>
      <c r="R48" s="426">
        <v>1.4784342651735989</v>
      </c>
      <c r="S48" s="421">
        <f t="shared" si="13"/>
        <v>-0.11647714294396548</v>
      </c>
      <c r="T48" s="426">
        <f t="shared" si="10"/>
        <v>2.1792530282772504</v>
      </c>
      <c r="U48" s="426">
        <f t="shared" si="11"/>
        <v>2.7033483610788989</v>
      </c>
      <c r="V48" s="426">
        <f t="shared" si="12"/>
        <v>1.3062304659357171</v>
      </c>
    </row>
    <row r="49" spans="1:22" s="350" customFormat="1" hidden="1" outlineLevel="1">
      <c r="A49" s="226" t="s">
        <v>77</v>
      </c>
      <c r="B49" s="227"/>
      <c r="C49" s="227"/>
      <c r="D49" s="227"/>
      <c r="E49" s="227"/>
      <c r="F49" s="227"/>
      <c r="G49" s="227"/>
      <c r="H49" s="227"/>
      <c r="I49" s="227"/>
      <c r="J49" s="227"/>
      <c r="K49" s="227"/>
      <c r="L49" s="227"/>
      <c r="M49" s="227"/>
      <c r="N49" s="227"/>
      <c r="O49" s="227"/>
      <c r="P49" s="427">
        <v>9.9337456859648204E-2</v>
      </c>
      <c r="Q49" s="427">
        <v>7.5863526575267265E-2</v>
      </c>
      <c r="R49" s="427">
        <v>7.0429749339819006E-2</v>
      </c>
      <c r="S49" s="422">
        <v>0</v>
      </c>
      <c r="T49" s="427">
        <f t="shared" si="10"/>
        <v>9.9337456859648204E-2</v>
      </c>
      <c r="U49" s="427">
        <f t="shared" si="11"/>
        <v>7.5863526575267265E-2</v>
      </c>
      <c r="V49" s="427">
        <f t="shared" si="12"/>
        <v>7.0429749339819006E-2</v>
      </c>
    </row>
    <row r="50" spans="1:22" s="350" customFormat="1" hidden="1" outlineLevel="1">
      <c r="A50" s="236" t="s">
        <v>695</v>
      </c>
      <c r="B50" s="237"/>
      <c r="C50" s="238"/>
      <c r="D50" s="238"/>
      <c r="E50" s="238"/>
      <c r="F50" s="238"/>
      <c r="G50" s="238"/>
      <c r="H50" s="238"/>
      <c r="I50" s="238"/>
      <c r="J50" s="238"/>
      <c r="K50" s="238"/>
      <c r="L50" s="238"/>
      <c r="M50" s="238"/>
      <c r="N50" s="238"/>
      <c r="O50" s="238"/>
      <c r="P50" s="381"/>
      <c r="Q50" s="381"/>
      <c r="R50" s="381"/>
      <c r="S50" s="423"/>
      <c r="T50" s="381"/>
      <c r="U50" s="381"/>
      <c r="V50" s="381"/>
    </row>
    <row r="51" spans="1:22" s="350" customFormat="1" hidden="1" outlineLevel="1">
      <c r="A51" s="241" t="s">
        <v>76</v>
      </c>
      <c r="B51" s="242"/>
      <c r="C51" s="242"/>
      <c r="D51" s="242"/>
      <c r="E51" s="242"/>
      <c r="F51" s="242"/>
      <c r="G51" s="242"/>
      <c r="H51" s="242"/>
      <c r="I51" s="242"/>
      <c r="J51" s="242"/>
      <c r="K51" s="242"/>
      <c r="L51" s="242"/>
      <c r="M51" s="242"/>
      <c r="N51" s="242"/>
      <c r="O51" s="242"/>
      <c r="P51" s="426">
        <v>0.74866602397521786</v>
      </c>
      <c r="Q51" s="426">
        <v>0.72895368650847359</v>
      </c>
      <c r="R51" s="426">
        <v>65.82563226904746</v>
      </c>
      <c r="S51" s="421">
        <f>R70</f>
        <v>-0.47713359886470835</v>
      </c>
      <c r="T51" s="426">
        <f t="shared" ref="T51:T52" si="14">P51*(100%+$S51)</f>
        <v>0.39145230960819016</v>
      </c>
      <c r="U51" s="426">
        <f t="shared" ref="U51:U52" si="15">Q51*(100%+$S51)</f>
        <v>0.38114539065898922</v>
      </c>
      <c r="V51" s="426">
        <f t="shared" ref="V51:V52" si="16">R51*(100%+$S51)</f>
        <v>34.418011446971974</v>
      </c>
    </row>
    <row r="52" spans="1:22" s="350" customFormat="1" hidden="1" outlineLevel="1">
      <c r="A52" s="226" t="s">
        <v>77</v>
      </c>
      <c r="B52" s="227"/>
      <c r="C52" s="227"/>
      <c r="D52" s="227"/>
      <c r="E52" s="227"/>
      <c r="F52" s="227"/>
      <c r="G52" s="227"/>
      <c r="H52" s="227"/>
      <c r="I52" s="227"/>
      <c r="J52" s="227"/>
      <c r="K52" s="227"/>
      <c r="L52" s="227"/>
      <c r="M52" s="227"/>
      <c r="N52" s="227"/>
      <c r="O52" s="227"/>
      <c r="P52" s="427">
        <v>2.4850667482242079E-2</v>
      </c>
      <c r="Q52" s="427">
        <v>1.9713800782337778E-2</v>
      </c>
      <c r="R52" s="427">
        <v>1.6381325712427501E-2</v>
      </c>
      <c r="S52" s="422">
        <v>0</v>
      </c>
      <c r="T52" s="427">
        <f t="shared" si="14"/>
        <v>2.4850667482242079E-2</v>
      </c>
      <c r="U52" s="427">
        <f t="shared" si="15"/>
        <v>1.9713800782337778E-2</v>
      </c>
      <c r="V52" s="427">
        <f t="shared" si="16"/>
        <v>1.6381325712427501E-2</v>
      </c>
    </row>
    <row r="53" spans="1:22" hidden="1" outlineLevel="1">
      <c r="A53" s="35" t="s">
        <v>627</v>
      </c>
    </row>
    <row r="54" spans="1:22" hidden="1" outlineLevel="1">
      <c r="A54" s="228" t="s">
        <v>696</v>
      </c>
    </row>
    <row r="55" spans="1:22" hidden="1" outlineLevel="1">
      <c r="A55" s="228" t="s">
        <v>697</v>
      </c>
    </row>
    <row r="56" spans="1:22" hidden="1" outlineLevel="1">
      <c r="A56" s="228" t="s">
        <v>698</v>
      </c>
    </row>
    <row r="57" spans="1:22" hidden="1" outlineLevel="1"/>
    <row r="58" spans="1:22" s="362" customFormat="1" hidden="1" outlineLevel="1">
      <c r="A58" s="1" t="s">
        <v>246</v>
      </c>
    </row>
    <row r="59" spans="1:22" s="362" customFormat="1" hidden="1" outlineLevel="1">
      <c r="A59" s="838"/>
      <c r="B59" s="840" t="s">
        <v>173</v>
      </c>
      <c r="C59" s="223"/>
      <c r="D59" s="223"/>
      <c r="E59" s="223"/>
      <c r="F59" s="223"/>
      <c r="G59" s="223"/>
      <c r="H59" s="223"/>
      <c r="I59" s="223"/>
      <c r="J59" s="223"/>
      <c r="K59" s="223"/>
      <c r="L59" s="223"/>
      <c r="M59" s="223"/>
      <c r="N59" s="223"/>
      <c r="O59" s="223"/>
      <c r="P59" s="223">
        <v>2016</v>
      </c>
      <c r="Q59" s="223">
        <v>2016</v>
      </c>
    </row>
    <row r="60" spans="1:22" s="362" customFormat="1" hidden="1" outlineLevel="1">
      <c r="A60" s="839"/>
      <c r="B60" s="841"/>
      <c r="C60" s="223"/>
      <c r="D60" s="223"/>
      <c r="E60" s="223"/>
      <c r="F60" s="223"/>
      <c r="G60" s="223"/>
      <c r="H60" s="223"/>
      <c r="I60" s="223"/>
      <c r="J60" s="223"/>
      <c r="K60" s="223"/>
      <c r="L60" s="223"/>
      <c r="M60" s="223"/>
      <c r="N60" s="223"/>
      <c r="O60" s="223"/>
      <c r="P60" s="223" t="s">
        <v>191</v>
      </c>
      <c r="Q60" s="223" t="s">
        <v>62</v>
      </c>
      <c r="R60" s="223" t="s">
        <v>192</v>
      </c>
    </row>
    <row r="61" spans="1:22" s="362" customFormat="1" hidden="1" outlineLevel="1">
      <c r="A61" s="447" t="s">
        <v>71</v>
      </c>
      <c r="B61" s="448"/>
      <c r="C61" s="238"/>
      <c r="D61" s="238"/>
      <c r="E61" s="238"/>
      <c r="F61" s="238"/>
      <c r="G61" s="238"/>
      <c r="H61" s="238"/>
      <c r="I61" s="238"/>
      <c r="J61" s="238"/>
      <c r="K61" s="238"/>
      <c r="L61" s="238"/>
      <c r="M61" s="238"/>
      <c r="N61" s="238"/>
      <c r="O61" s="238"/>
      <c r="P61" s="381">
        <v>1.1380336080369999</v>
      </c>
      <c r="Q61" s="381">
        <v>1.2159518305588299</v>
      </c>
      <c r="R61" s="419">
        <f t="shared" ref="R61:R66" si="17">IFERROR((Q61-P61)/P61,"brak")</f>
        <v>6.8467417808716166E-2</v>
      </c>
    </row>
    <row r="62" spans="1:22" s="362" customFormat="1" hidden="1" outlineLevel="1">
      <c r="A62" s="449" t="s">
        <v>76</v>
      </c>
      <c r="B62" s="450"/>
      <c r="C62" s="240"/>
      <c r="D62" s="240"/>
      <c r="E62" s="240"/>
      <c r="F62" s="240"/>
      <c r="G62" s="240"/>
      <c r="H62" s="240"/>
      <c r="I62" s="240"/>
      <c r="J62" s="240"/>
      <c r="K62" s="240"/>
      <c r="L62" s="240"/>
      <c r="M62" s="240"/>
      <c r="N62" s="240"/>
      <c r="O62" s="240"/>
      <c r="P62" s="425">
        <v>0.52695410836604595</v>
      </c>
      <c r="Q62" s="425">
        <v>1.0324175824715001</v>
      </c>
      <c r="R62" s="451">
        <f t="shared" si="17"/>
        <v>0.95921725645667899</v>
      </c>
    </row>
    <row r="63" spans="1:22" s="362" customFormat="1" hidden="1" outlineLevel="1">
      <c r="A63" s="452" t="s">
        <v>73</v>
      </c>
      <c r="B63" s="453"/>
      <c r="C63" s="454"/>
      <c r="D63" s="454"/>
      <c r="E63" s="454"/>
      <c r="F63" s="454"/>
      <c r="G63" s="454"/>
      <c r="H63" s="454"/>
      <c r="I63" s="454"/>
      <c r="J63" s="454"/>
      <c r="K63" s="454"/>
      <c r="L63" s="454"/>
      <c r="M63" s="454"/>
      <c r="N63" s="454"/>
      <c r="O63" s="454"/>
      <c r="P63" s="455">
        <v>1.9006851722579601</v>
      </c>
      <c r="Q63" s="455">
        <v>1.5569273735467799</v>
      </c>
      <c r="R63" s="456">
        <f t="shared" si="17"/>
        <v>-0.1808599360528528</v>
      </c>
    </row>
    <row r="64" spans="1:22" s="362" customFormat="1" hidden="1" outlineLevel="1">
      <c r="A64" s="318" t="s">
        <v>162</v>
      </c>
      <c r="B64" s="10"/>
      <c r="C64" s="13"/>
      <c r="D64" s="13"/>
      <c r="E64" s="13"/>
      <c r="F64" s="13"/>
      <c r="G64" s="13"/>
      <c r="H64" s="13"/>
      <c r="I64" s="13"/>
      <c r="J64" s="13"/>
      <c r="K64" s="13"/>
      <c r="L64" s="13"/>
      <c r="M64" s="13"/>
      <c r="N64" s="13"/>
      <c r="O64" s="13"/>
      <c r="P64" s="374">
        <v>9.3781880607559192</v>
      </c>
      <c r="Q64" s="374">
        <v>7.4743735476712301</v>
      </c>
      <c r="R64" s="375">
        <f t="shared" si="17"/>
        <v>-0.20300451438497108</v>
      </c>
    </row>
    <row r="65" spans="1:19" s="362" customFormat="1" hidden="1" outlineLevel="1">
      <c r="A65" s="318" t="s">
        <v>175</v>
      </c>
      <c r="B65" s="10"/>
      <c r="C65" s="13"/>
      <c r="D65" s="13"/>
      <c r="E65" s="13"/>
      <c r="F65" s="13"/>
      <c r="G65" s="13"/>
      <c r="H65" s="13"/>
      <c r="I65" s="13"/>
      <c r="J65" s="13"/>
      <c r="K65" s="13"/>
      <c r="L65" s="13"/>
      <c r="M65" s="13"/>
      <c r="N65" s="13"/>
      <c r="O65" s="13"/>
      <c r="P65" s="374">
        <v>14.193240289626701</v>
      </c>
      <c r="Q65" s="374">
        <v>13.163598329143101</v>
      </c>
      <c r="R65" s="375">
        <f t="shared" si="17"/>
        <v>-7.2544531021300762E-2</v>
      </c>
    </row>
    <row r="66" spans="1:19" s="362" customFormat="1" hidden="1" outlineLevel="1">
      <c r="A66" s="318" t="s">
        <v>176</v>
      </c>
      <c r="B66" s="10"/>
      <c r="C66" s="13"/>
      <c r="D66" s="13"/>
      <c r="E66" s="13"/>
      <c r="F66" s="13"/>
      <c r="G66" s="13"/>
      <c r="H66" s="13"/>
      <c r="I66" s="13"/>
      <c r="J66" s="13"/>
      <c r="K66" s="13"/>
      <c r="L66" s="13"/>
      <c r="M66" s="13"/>
      <c r="N66" s="13"/>
      <c r="O66" s="13"/>
      <c r="P66" s="374">
        <v>14.3396034451614</v>
      </c>
      <c r="Q66" s="374">
        <v>13.161948685066299</v>
      </c>
      <c r="R66" s="375">
        <f t="shared" si="17"/>
        <v>-8.2126034000785095E-2</v>
      </c>
    </row>
    <row r="67" spans="1:19" s="362" customFormat="1" hidden="1" outlineLevel="1">
      <c r="A67" s="447" t="s">
        <v>174</v>
      </c>
      <c r="B67" s="448"/>
      <c r="C67" s="238"/>
      <c r="D67" s="238"/>
      <c r="E67" s="238"/>
      <c r="F67" s="238"/>
      <c r="G67" s="238"/>
      <c r="H67" s="238"/>
      <c r="I67" s="238"/>
      <c r="J67" s="238"/>
      <c r="K67" s="238"/>
      <c r="L67" s="238"/>
      <c r="M67" s="238"/>
      <c r="N67" s="238"/>
      <c r="O67" s="238"/>
      <c r="P67" s="381">
        <v>3.2395928719261802</v>
      </c>
      <c r="Q67" s="686">
        <f>Q68*(S76/SUM(S76:S77))+Q69*(S77/SUM(S76:S77))</f>
        <v>2.631722720591211</v>
      </c>
      <c r="R67" s="419">
        <f t="shared" ref="R67:R70" si="18">IFERROR((Q67-P67)/P67,"brak")</f>
        <v>-0.18763782220990777</v>
      </c>
    </row>
    <row r="68" spans="1:19" s="362" customFormat="1" hidden="1" outlineLevel="1">
      <c r="A68" s="449" t="s">
        <v>76</v>
      </c>
      <c r="B68" s="450"/>
      <c r="C68" s="240"/>
      <c r="D68" s="240"/>
      <c r="E68" s="240"/>
      <c r="F68" s="240"/>
      <c r="G68" s="240"/>
      <c r="H68" s="240"/>
      <c r="I68" s="240"/>
      <c r="J68" s="240"/>
      <c r="K68" s="240"/>
      <c r="L68" s="240"/>
      <c r="M68" s="240"/>
      <c r="N68" s="240"/>
      <c r="O68" s="240"/>
      <c r="P68" s="425">
        <v>1.1699645996707999</v>
      </c>
      <c r="Q68" s="425">
        <v>1.09595456088482</v>
      </c>
      <c r="R68" s="451">
        <f t="shared" si="18"/>
        <v>-6.3258357395432771E-2</v>
      </c>
    </row>
    <row r="69" spans="1:19" s="362" customFormat="1" hidden="1" outlineLevel="1">
      <c r="A69" s="452" t="s">
        <v>73</v>
      </c>
      <c r="B69" s="453"/>
      <c r="C69" s="454"/>
      <c r="D69" s="454"/>
      <c r="E69" s="454"/>
      <c r="F69" s="454"/>
      <c r="G69" s="454"/>
      <c r="H69" s="454"/>
      <c r="I69" s="454"/>
      <c r="J69" s="454"/>
      <c r="K69" s="454"/>
      <c r="L69" s="454"/>
      <c r="M69" s="454"/>
      <c r="N69" s="454"/>
      <c r="O69" s="454"/>
      <c r="P69" s="455">
        <v>3.36749861662177</v>
      </c>
      <c r="Q69" s="455">
        <v>2.9752619988899101</v>
      </c>
      <c r="R69" s="456">
        <f t="shared" si="18"/>
        <v>-0.11647714294396548</v>
      </c>
    </row>
    <row r="70" spans="1:19" s="362" customFormat="1" hidden="1" outlineLevel="1">
      <c r="A70" s="318" t="s">
        <v>695</v>
      </c>
      <c r="B70" s="10"/>
      <c r="C70" s="13"/>
      <c r="D70" s="13"/>
      <c r="E70" s="13"/>
      <c r="F70" s="13"/>
      <c r="G70" s="13"/>
      <c r="H70" s="13"/>
      <c r="I70" s="13"/>
      <c r="J70" s="13"/>
      <c r="K70" s="13"/>
      <c r="L70" s="13"/>
      <c r="M70" s="13"/>
      <c r="N70" s="13"/>
      <c r="O70" s="13"/>
      <c r="P70" s="374">
        <v>1.17243087901834</v>
      </c>
      <c r="Q70" s="374">
        <v>0.61302471429220595</v>
      </c>
      <c r="R70" s="375">
        <f t="shared" si="18"/>
        <v>-0.47713359886470835</v>
      </c>
    </row>
    <row r="71" spans="1:19" s="362" customFormat="1" hidden="1" outlineLevel="1">
      <c r="A71" s="35" t="s">
        <v>699</v>
      </c>
    </row>
    <row r="72" spans="1:19" s="362" customFormat="1" hidden="1" outlineLevel="1"/>
    <row r="73" spans="1:19" s="350" customFormat="1" hidden="1" outlineLevel="1">
      <c r="A73" s="338" t="s">
        <v>700</v>
      </c>
    </row>
    <row r="74" spans="1:19" s="350" customFormat="1" ht="45" hidden="1" outlineLevel="1">
      <c r="A74" s="836" t="s">
        <v>163</v>
      </c>
      <c r="B74" s="836" t="s">
        <v>164</v>
      </c>
      <c r="C74" s="358"/>
      <c r="D74" s="358"/>
      <c r="E74" s="358"/>
      <c r="F74" s="358"/>
      <c r="G74" s="358"/>
      <c r="H74" s="358"/>
      <c r="I74" s="358"/>
      <c r="J74" s="358"/>
      <c r="K74" s="358"/>
      <c r="L74" s="358"/>
      <c r="M74" s="358"/>
      <c r="N74" s="358"/>
      <c r="O74" s="358"/>
      <c r="P74" s="836"/>
      <c r="Q74" s="359" t="s">
        <v>165</v>
      </c>
      <c r="R74" s="359" t="s">
        <v>166</v>
      </c>
      <c r="S74" s="359" t="s">
        <v>177</v>
      </c>
    </row>
    <row r="75" spans="1:19" s="350" customFormat="1" ht="15.75" hidden="1" outlineLevel="1" thickBot="1">
      <c r="A75" s="837"/>
      <c r="B75" s="837"/>
      <c r="C75" s="360"/>
      <c r="D75" s="360"/>
      <c r="E75" s="360"/>
      <c r="F75" s="360"/>
      <c r="G75" s="360"/>
      <c r="H75" s="360"/>
      <c r="I75" s="360"/>
      <c r="J75" s="360"/>
      <c r="K75" s="360"/>
      <c r="L75" s="360"/>
      <c r="M75" s="360"/>
      <c r="N75" s="360"/>
      <c r="O75" s="360"/>
      <c r="P75" s="837"/>
      <c r="Q75" s="361" t="s">
        <v>167</v>
      </c>
      <c r="R75" s="361" t="s">
        <v>168</v>
      </c>
      <c r="S75" s="361" t="s">
        <v>169</v>
      </c>
    </row>
    <row r="76" spans="1:19" s="350" customFormat="1" hidden="1" outlineLevel="1">
      <c r="A76" s="339" t="s">
        <v>232</v>
      </c>
      <c r="B76" s="351" t="s">
        <v>76</v>
      </c>
      <c r="C76" s="424"/>
      <c r="D76" s="424"/>
      <c r="E76" s="424"/>
      <c r="F76" s="424"/>
      <c r="G76" s="424"/>
      <c r="H76" s="424"/>
      <c r="I76" s="424"/>
      <c r="J76" s="424"/>
      <c r="K76" s="424"/>
      <c r="L76" s="424"/>
      <c r="M76" s="424"/>
      <c r="N76" s="424"/>
      <c r="O76" s="424"/>
      <c r="P76" s="351"/>
      <c r="Q76" s="340">
        <v>347915</v>
      </c>
      <c r="R76" s="341">
        <v>15289.779943376976</v>
      </c>
      <c r="S76" s="340">
        <f>Q76*R76</f>
        <v>5319543789.000001</v>
      </c>
    </row>
    <row r="77" spans="1:19" s="350" customFormat="1" hidden="1" outlineLevel="1">
      <c r="A77" s="339" t="s">
        <v>232</v>
      </c>
      <c r="B77" s="351" t="s">
        <v>233</v>
      </c>
      <c r="C77" s="424"/>
      <c r="D77" s="424"/>
      <c r="E77" s="424"/>
      <c r="F77" s="424"/>
      <c r="G77" s="424"/>
      <c r="H77" s="424"/>
      <c r="I77" s="424"/>
      <c r="J77" s="424"/>
      <c r="K77" s="424"/>
      <c r="L77" s="424"/>
      <c r="M77" s="424"/>
      <c r="N77" s="424"/>
      <c r="O77" s="424"/>
      <c r="P77" s="351"/>
      <c r="Q77" s="340">
        <v>1174543</v>
      </c>
      <c r="R77" s="341">
        <v>20246.72236946625</v>
      </c>
      <c r="S77" s="340">
        <f>Q77*R77</f>
        <v>23780646031.999996</v>
      </c>
    </row>
    <row r="78" spans="1:19" s="350" customFormat="1" hidden="1" outlineLevel="1">
      <c r="A78" s="342" t="s">
        <v>701</v>
      </c>
    </row>
    <row r="79" spans="1:19" s="350" customFormat="1" hidden="1" outlineLevel="1">
      <c r="A79" s="338" t="s">
        <v>702</v>
      </c>
    </row>
    <row r="80" spans="1:19" s="350" customFormat="1" hidden="1" outlineLevel="1"/>
    <row r="81" spans="1:61" hidden="1" outlineLevel="1">
      <c r="A81" s="315" t="s">
        <v>125</v>
      </c>
      <c r="B81" s="145">
        <f>1/100</f>
        <v>0.01</v>
      </c>
      <c r="C81" s="315"/>
      <c r="D81" s="315"/>
      <c r="E81" s="315"/>
      <c r="F81" s="315"/>
      <c r="G81" s="315"/>
      <c r="H81" s="315"/>
      <c r="I81" s="315"/>
      <c r="J81" s="315"/>
      <c r="K81" s="315"/>
      <c r="L81" s="315"/>
      <c r="M81" s="315"/>
      <c r="N81" s="315"/>
      <c r="O81" s="315"/>
      <c r="P81" s="315"/>
      <c r="Q81" s="315"/>
    </row>
    <row r="82" spans="1:61" hidden="1" outlineLevel="1">
      <c r="A82" s="315"/>
      <c r="B82" s="315"/>
      <c r="C82" s="315"/>
      <c r="D82" s="315"/>
      <c r="E82" s="315"/>
      <c r="F82" s="315"/>
      <c r="G82" s="315"/>
      <c r="H82" s="315"/>
      <c r="I82" s="315"/>
      <c r="J82" s="315"/>
      <c r="K82" s="315"/>
      <c r="L82" s="315"/>
      <c r="M82" s="315"/>
      <c r="N82" s="315"/>
      <c r="O82" s="315"/>
      <c r="P82" s="315"/>
      <c r="Q82" s="315"/>
    </row>
    <row r="83" spans="1:61" hidden="1" outlineLevel="1">
      <c r="A83" s="9" t="s">
        <v>2</v>
      </c>
      <c r="B83" s="6"/>
      <c r="C83" s="6"/>
      <c r="D83" s="6"/>
      <c r="E83" s="6"/>
      <c r="F83" s="6"/>
      <c r="G83" s="6"/>
      <c r="H83" s="6"/>
      <c r="I83" s="6"/>
      <c r="J83" s="6"/>
      <c r="K83" s="6"/>
      <c r="L83" s="6"/>
      <c r="M83" s="6"/>
      <c r="N83" s="6"/>
      <c r="O83" s="6"/>
      <c r="P83" s="6"/>
      <c r="Q83" s="6">
        <v>2016</v>
      </c>
    </row>
    <row r="84" spans="1:61" hidden="1" outlineLevel="1">
      <c r="A84" s="8" t="s">
        <v>3</v>
      </c>
      <c r="B84" s="12"/>
      <c r="C84" s="12"/>
      <c r="D84" s="12"/>
      <c r="E84" s="12"/>
      <c r="F84" s="12"/>
      <c r="G84" s="12"/>
      <c r="H84" s="12"/>
      <c r="I84" s="12"/>
      <c r="J84" s="12"/>
      <c r="K84" s="12"/>
      <c r="L84" s="12"/>
      <c r="M84" s="12"/>
      <c r="N84" s="12"/>
      <c r="O84" s="12"/>
      <c r="P84" s="12"/>
      <c r="Q84" s="11">
        <f>Indeksacja!$Q$41</f>
        <v>4.3632</v>
      </c>
    </row>
    <row r="85" spans="1:61" hidden="1" outlineLevel="1">
      <c r="A85" s="35" t="str">
        <f>Indeksacja!$A$42</f>
        <v>Źródło: ECB, http://sdw.ecb.europa.eu/quickview.do?SERIES_KEY=120.EXR.A.PLN.EUR.SP00.A</v>
      </c>
      <c r="B85" s="315"/>
      <c r="C85" s="315"/>
      <c r="D85" s="315"/>
      <c r="E85" s="315"/>
      <c r="F85" s="315"/>
      <c r="G85" s="315"/>
      <c r="H85" s="315"/>
      <c r="I85" s="315"/>
      <c r="J85" s="315"/>
      <c r="K85" s="315"/>
      <c r="L85" s="315"/>
      <c r="M85" s="315"/>
      <c r="N85" s="315"/>
      <c r="O85" s="315"/>
      <c r="P85" s="315"/>
      <c r="Q85" s="315"/>
    </row>
    <row r="86" spans="1:61" hidden="1" outlineLevel="1"/>
    <row r="87" spans="1:61" s="471" customFormat="1" ht="30" hidden="1" outlineLevel="1">
      <c r="A87" s="131" t="s">
        <v>565</v>
      </c>
      <c r="B87" s="6"/>
      <c r="C87" s="6"/>
      <c r="D87" s="6"/>
      <c r="E87" s="6"/>
      <c r="F87" s="6"/>
      <c r="G87" s="6"/>
      <c r="H87" s="6"/>
      <c r="I87" s="6"/>
      <c r="J87" s="6"/>
      <c r="K87" s="6"/>
      <c r="L87" s="6"/>
      <c r="M87" s="6"/>
      <c r="N87" s="6"/>
      <c r="O87" s="6"/>
      <c r="P87" s="6"/>
      <c r="Q87" s="6">
        <v>2016</v>
      </c>
    </row>
    <row r="88" spans="1:61" s="471" customFormat="1" hidden="1" outlineLevel="1">
      <c r="A88" s="8" t="s">
        <v>62</v>
      </c>
      <c r="B88" s="484"/>
      <c r="C88" s="484"/>
      <c r="D88" s="484"/>
      <c r="E88" s="484"/>
      <c r="F88" s="484"/>
      <c r="G88" s="484"/>
      <c r="H88" s="484"/>
      <c r="I88" s="484"/>
      <c r="J88" s="484"/>
      <c r="K88" s="484"/>
      <c r="L88" s="484"/>
      <c r="M88" s="484"/>
      <c r="N88" s="484"/>
      <c r="O88" s="484"/>
      <c r="P88" s="484"/>
      <c r="Q88" s="470">
        <f>Indeksacja!$Q$44</f>
        <v>68.2</v>
      </c>
    </row>
    <row r="89" spans="1:61" s="471" customFormat="1" hidden="1" outlineLevel="1">
      <c r="A89" s="35" t="str">
        <f>Indeksacja!$A$45</f>
        <v>Źródło: Eurostat, https://ec.europa.eu/eurostat/data/database Main GDP aggregates per capita [nama_10_pc] (aktualizacja 28.01.2022)</v>
      </c>
    </row>
    <row r="90" spans="1:61" s="471" customFormat="1" hidden="1" outlineLevel="1"/>
    <row r="91" spans="1:61" s="592" customFormat="1" hidden="1" outlineLevel="1">
      <c r="A91" s="774" t="str">
        <f>'VoT czas ładunki'!$A$41</f>
        <v xml:space="preserve">Wyjaśnienie w sprawie przeliczenia wyjściowych wartości kosztów jednostkowych z zastosowaniem kursu walutowego PLN/EUR oraz PKB Polski per capita w jednostkach siły nabywczej (PPS): </v>
      </c>
      <c r="B91" s="774"/>
      <c r="C91" s="774"/>
      <c r="D91" s="774"/>
      <c r="E91" s="774"/>
      <c r="F91" s="774"/>
      <c r="G91" s="774"/>
      <c r="H91" s="774"/>
      <c r="I91" s="774"/>
      <c r="J91" s="774"/>
      <c r="K91" s="774"/>
      <c r="L91" s="774"/>
      <c r="M91" s="774"/>
      <c r="N91" s="774"/>
      <c r="O91" s="774"/>
      <c r="P91" s="774"/>
      <c r="Q91" s="774"/>
      <c r="R91" s="774"/>
      <c r="S91" s="774"/>
      <c r="T91" s="774"/>
      <c r="U91" s="774"/>
      <c r="V91" s="774"/>
    </row>
    <row r="92" spans="1:61" s="672" customFormat="1" hidden="1" outlineLevel="1">
      <c r="A92" s="774"/>
      <c r="B92" s="774"/>
      <c r="C92" s="774"/>
      <c r="D92" s="774"/>
      <c r="E92" s="774"/>
      <c r="F92" s="774"/>
      <c r="G92" s="774"/>
      <c r="H92" s="774"/>
      <c r="I92" s="774"/>
      <c r="J92" s="774"/>
      <c r="K92" s="774"/>
      <c r="L92" s="774"/>
      <c r="M92" s="774"/>
      <c r="N92" s="774"/>
      <c r="O92" s="774"/>
      <c r="P92" s="774"/>
      <c r="Q92" s="774"/>
      <c r="R92" s="774"/>
      <c r="S92" s="774"/>
      <c r="T92" s="774"/>
      <c r="U92" s="774"/>
      <c r="V92" s="774"/>
    </row>
    <row r="93" spans="1:61" s="592" customFormat="1" hidden="1" outlineLevel="1">
      <c r="A93" s="517" t="s">
        <v>511</v>
      </c>
    </row>
    <row r="94" spans="1:61" s="592" customFormat="1" hidden="1" outlineLevel="1"/>
    <row r="95" spans="1:61" hidden="1" outlineLevel="1">
      <c r="A95" s="9" t="s">
        <v>293</v>
      </c>
      <c r="B95" s="40"/>
      <c r="C95" s="40"/>
      <c r="D95" s="40"/>
      <c r="E95" s="40"/>
      <c r="F95" s="40"/>
      <c r="G95" s="40"/>
      <c r="H95" s="40"/>
      <c r="I95" s="40"/>
      <c r="J95" s="40"/>
      <c r="K95" s="40"/>
      <c r="L95" s="40"/>
      <c r="M95" s="40"/>
      <c r="N95" s="40"/>
      <c r="O95" s="40"/>
      <c r="P95" s="40"/>
      <c r="Q95" s="40">
        <v>2016</v>
      </c>
      <c r="R95" s="40">
        <f>Q95+1</f>
        <v>2017</v>
      </c>
      <c r="S95" s="40">
        <f t="shared" ref="S95:V95" si="19">R95+1</f>
        <v>2018</v>
      </c>
      <c r="T95" s="40">
        <f t="shared" si="19"/>
        <v>2019</v>
      </c>
      <c r="U95" s="40">
        <f t="shared" si="19"/>
        <v>2020</v>
      </c>
      <c r="V95" s="40">
        <f t="shared" si="19"/>
        <v>2021</v>
      </c>
      <c r="W95" s="40">
        <f t="shared" ref="W95" si="20">V95+1</f>
        <v>2022</v>
      </c>
      <c r="X95" s="40">
        <f t="shared" ref="X95" si="21">W95+1</f>
        <v>2023</v>
      </c>
      <c r="Y95" s="40">
        <f t="shared" ref="Y95" si="22">X95+1</f>
        <v>2024</v>
      </c>
      <c r="Z95" s="40">
        <f t="shared" ref="Z95" si="23">Y95+1</f>
        <v>2025</v>
      </c>
      <c r="AA95" s="40">
        <f t="shared" ref="AA95" si="24">Z95+1</f>
        <v>2026</v>
      </c>
      <c r="AB95" s="40">
        <f t="shared" ref="AB95" si="25">AA95+1</f>
        <v>2027</v>
      </c>
      <c r="AC95" s="40">
        <f t="shared" ref="AC95" si="26">AB95+1</f>
        <v>2028</v>
      </c>
      <c r="AD95" s="40">
        <f t="shared" ref="AD95" si="27">AC95+1</f>
        <v>2029</v>
      </c>
      <c r="AE95" s="40">
        <f t="shared" ref="AE95" si="28">AD95+1</f>
        <v>2030</v>
      </c>
      <c r="AF95" s="40">
        <f t="shared" ref="AF95" si="29">AE95+1</f>
        <v>2031</v>
      </c>
      <c r="AG95" s="40">
        <f t="shared" ref="AG95" si="30">AF95+1</f>
        <v>2032</v>
      </c>
      <c r="AH95" s="40">
        <f t="shared" ref="AH95" si="31">AG95+1</f>
        <v>2033</v>
      </c>
      <c r="AI95" s="40">
        <f t="shared" ref="AI95" si="32">AH95+1</f>
        <v>2034</v>
      </c>
      <c r="AJ95" s="40">
        <f t="shared" ref="AJ95" si="33">AI95+1</f>
        <v>2035</v>
      </c>
      <c r="AK95" s="40">
        <f t="shared" ref="AK95" si="34">AJ95+1</f>
        <v>2036</v>
      </c>
      <c r="AL95" s="40">
        <f t="shared" ref="AL95" si="35">AK95+1</f>
        <v>2037</v>
      </c>
      <c r="AM95" s="40">
        <f t="shared" ref="AM95" si="36">AL95+1</f>
        <v>2038</v>
      </c>
      <c r="AN95" s="40">
        <f t="shared" ref="AN95" si="37">AM95+1</f>
        <v>2039</v>
      </c>
      <c r="AO95" s="40">
        <f t="shared" ref="AO95" si="38">AN95+1</f>
        <v>2040</v>
      </c>
      <c r="AP95" s="40">
        <f t="shared" ref="AP95" si="39">AO95+1</f>
        <v>2041</v>
      </c>
      <c r="AQ95" s="40">
        <f t="shared" ref="AQ95" si="40">AP95+1</f>
        <v>2042</v>
      </c>
      <c r="AR95" s="40">
        <f t="shared" ref="AR95" si="41">AQ95+1</f>
        <v>2043</v>
      </c>
      <c r="AS95" s="40">
        <f t="shared" ref="AS95" si="42">AR95+1</f>
        <v>2044</v>
      </c>
      <c r="AT95" s="40">
        <f t="shared" ref="AT95" si="43">AS95+1</f>
        <v>2045</v>
      </c>
      <c r="AU95" s="40">
        <f t="shared" ref="AU95" si="44">AT95+1</f>
        <v>2046</v>
      </c>
      <c r="AV95" s="40">
        <f t="shared" ref="AV95" si="45">AU95+1</f>
        <v>2047</v>
      </c>
      <c r="AW95" s="40">
        <f t="shared" ref="AW95" si="46">AV95+1</f>
        <v>2048</v>
      </c>
      <c r="AX95" s="40">
        <f t="shared" ref="AX95" si="47">AW95+1</f>
        <v>2049</v>
      </c>
      <c r="AY95" s="40">
        <f t="shared" ref="AY95" si="48">AX95+1</f>
        <v>2050</v>
      </c>
      <c r="AZ95" s="40">
        <f t="shared" ref="AZ95" si="49">AY95+1</f>
        <v>2051</v>
      </c>
      <c r="BA95" s="40">
        <f t="shared" ref="BA95" si="50">AZ95+1</f>
        <v>2052</v>
      </c>
      <c r="BB95" s="40">
        <f t="shared" ref="BB95" si="51">BA95+1</f>
        <v>2053</v>
      </c>
      <c r="BC95" s="40">
        <f t="shared" ref="BC95" si="52">BB95+1</f>
        <v>2054</v>
      </c>
      <c r="BD95" s="40">
        <f t="shared" ref="BD95" si="53">BC95+1</f>
        <v>2055</v>
      </c>
      <c r="BE95" s="40">
        <f t="shared" ref="BE95" si="54">BD95+1</f>
        <v>2056</v>
      </c>
      <c r="BF95" s="40">
        <f t="shared" ref="BF95" si="55">BE95+1</f>
        <v>2057</v>
      </c>
      <c r="BG95" s="40">
        <f t="shared" ref="BG95" si="56">BF95+1</f>
        <v>2058</v>
      </c>
      <c r="BH95" s="40">
        <f t="shared" ref="BH95" si="57">BG95+1</f>
        <v>2059</v>
      </c>
      <c r="BI95" s="40">
        <f t="shared" ref="BI95" si="58">BH95+1</f>
        <v>2060</v>
      </c>
    </row>
    <row r="96" spans="1:61" ht="45" hidden="1" outlineLevel="1">
      <c r="A96" s="230" t="str">
        <f>Indeksacja!$A$63</f>
        <v>Indeksacja = Y * (PKB per cap PL) * (inflacja PL do roku bazowego), 
skumulowane od 2016</v>
      </c>
      <c r="B96" s="70"/>
      <c r="C96" s="70"/>
      <c r="D96" s="70"/>
      <c r="E96" s="70"/>
      <c r="F96" s="70"/>
      <c r="G96" s="70"/>
      <c r="H96" s="70"/>
      <c r="I96" s="70"/>
      <c r="J96" s="70"/>
      <c r="K96" s="70"/>
      <c r="L96" s="70"/>
      <c r="M96" s="70"/>
      <c r="N96" s="70"/>
      <c r="O96" s="70"/>
      <c r="P96" s="70"/>
      <c r="Q96" s="499">
        <f>Indeksacja!Q$63</f>
        <v>1</v>
      </c>
      <c r="R96" s="66">
        <f>Indeksacja!R$63</f>
        <v>1.0616153503184713</v>
      </c>
      <c r="S96" s="66">
        <f>Indeksacja!S$63</f>
        <v>1.1295409938152228</v>
      </c>
      <c r="T96" s="66">
        <f>Indeksacja!T$63</f>
        <v>1.1971500604510183</v>
      </c>
      <c r="U96" s="66">
        <f>Indeksacja!U$63</f>
        <v>1.2178946351589719</v>
      </c>
      <c r="V96" s="66">
        <f>Indeksacja!V$63</f>
        <v>1.3510008430393725</v>
      </c>
      <c r="W96" s="66">
        <f>Indeksacja!W$63</f>
        <v>1.6150446204056672</v>
      </c>
      <c r="X96" s="66">
        <f>Indeksacja!X$63</f>
        <v>1.8020482905123003</v>
      </c>
      <c r="Y96" s="66">
        <f>Indeksacja!Y$63</f>
        <v>1.8514409478637377</v>
      </c>
      <c r="Z96" s="66">
        <f>Indeksacja!Z$63</f>
        <v>1.9111642405092499</v>
      </c>
      <c r="AA96" s="66">
        <f>Indeksacja!AA$63</f>
        <v>1.9683794263013297</v>
      </c>
      <c r="AB96" s="66">
        <f>Indeksacja!AB$63</f>
        <v>2.0171017769813369</v>
      </c>
      <c r="AC96" s="66">
        <f>Indeksacja!AC$63</f>
        <v>2.0672053059042041</v>
      </c>
      <c r="AD96" s="66">
        <f>Indeksacja!AD$63</f>
        <v>2.1172043497398452</v>
      </c>
      <c r="AE96" s="66">
        <f>Indeksacja!AE$63</f>
        <v>2.1669964795901029</v>
      </c>
      <c r="AF96" s="66">
        <f>Indeksacja!AF$63</f>
        <v>2.2137238115546545</v>
      </c>
      <c r="AG96" s="66">
        <f>Indeksacja!AG$63</f>
        <v>2.2586319740242979</v>
      </c>
      <c r="AH96" s="66">
        <f>Indeksacja!AH$63</f>
        <v>2.3050915161771299</v>
      </c>
      <c r="AI96" s="66">
        <f>Indeksacja!AI$63</f>
        <v>2.3528924211884439</v>
      </c>
      <c r="AJ96" s="66">
        <f>Indeksacja!AJ$63</f>
        <v>2.3982822142460329</v>
      </c>
      <c r="AK96" s="66">
        <f>Indeksacja!AK$63</f>
        <v>2.4429574579276605</v>
      </c>
      <c r="AL96" s="66">
        <f>Indeksacja!AL$63</f>
        <v>2.4866831659785529</v>
      </c>
      <c r="AM96" s="66">
        <f>Indeksacja!AM$63</f>
        <v>2.5294760448220943</v>
      </c>
      <c r="AN96" s="66">
        <f>Indeksacja!AN$63</f>
        <v>2.5691748551819233</v>
      </c>
      <c r="AO96" s="66">
        <f>Indeksacja!AO$63</f>
        <v>2.6055632551146291</v>
      </c>
      <c r="AP96" s="66">
        <f>Indeksacja!AP$63</f>
        <v>2.6405549083819295</v>
      </c>
      <c r="AQ96" s="66">
        <f>Indeksacja!AQ$63</f>
        <v>2.6719332269623655</v>
      </c>
      <c r="AR96" s="66">
        <f>Indeksacja!AR$63</f>
        <v>2.7015574563464457</v>
      </c>
      <c r="AS96" s="66">
        <f>Indeksacja!AS$63</f>
        <v>2.7316671069545539</v>
      </c>
      <c r="AT96" s="66">
        <f>Indeksacja!AT$63</f>
        <v>2.7624330080703428</v>
      </c>
      <c r="AU96" s="66">
        <f>Indeksacja!AU$63</f>
        <v>2.7936930806448967</v>
      </c>
      <c r="AV96" s="66">
        <f>Indeksacja!AV$63</f>
        <v>2.825452580466675</v>
      </c>
      <c r="AW96" s="66">
        <f>Indeksacja!AW$63</f>
        <v>2.857749553376113</v>
      </c>
      <c r="AX96" s="66">
        <f>Indeksacja!AX$63</f>
        <v>2.8881628294022232</v>
      </c>
      <c r="AY96" s="66">
        <f>Indeksacja!AY$63</f>
        <v>2.9191128037152771</v>
      </c>
      <c r="AZ96" s="66">
        <f>Indeksacja!AZ$63</f>
        <v>2.9506306594636329</v>
      </c>
      <c r="BA96" s="66">
        <f>Indeksacja!BA$63</f>
        <v>2.9829462042624324</v>
      </c>
      <c r="BB96" s="66">
        <f>Indeksacja!BB$63</f>
        <v>3.0182960229035021</v>
      </c>
      <c r="BC96" s="66">
        <f>Indeksacja!BC$63</f>
        <v>3.0543739615389502</v>
      </c>
      <c r="BD96" s="66">
        <f>Indeksacja!BD$63</f>
        <v>3.0912302918042482</v>
      </c>
      <c r="BE96" s="66">
        <f>Indeksacja!BE$63</f>
        <v>3.1288787793099817</v>
      </c>
      <c r="BF96" s="66">
        <f>Indeksacja!BF$63</f>
        <v>3.1698612307539431</v>
      </c>
      <c r="BG96" s="66">
        <f>Indeksacja!BG$63</f>
        <v>3.2119627755418767</v>
      </c>
      <c r="BH96" s="66">
        <f>Indeksacja!BH$63</f>
        <v>3.25500139758728</v>
      </c>
      <c r="BI96" s="66">
        <f>Indeksacja!BI$63</f>
        <v>3.3014315033422923</v>
      </c>
    </row>
    <row r="97" spans="1:18" hidden="1" outlineLevel="1"/>
    <row r="98" spans="1:18" collapsed="1">
      <c r="A98" s="1" t="s">
        <v>734</v>
      </c>
      <c r="B98" s="315"/>
      <c r="C98" s="315"/>
      <c r="D98" s="315"/>
      <c r="E98" s="315"/>
      <c r="F98" s="315"/>
      <c r="G98" s="315"/>
      <c r="H98" s="315"/>
      <c r="I98" s="315"/>
      <c r="J98" s="315"/>
      <c r="K98" s="315"/>
      <c r="L98" s="315"/>
      <c r="M98" s="315"/>
      <c r="N98" s="315"/>
      <c r="O98" s="315"/>
      <c r="P98" s="315"/>
      <c r="Q98" s="315"/>
      <c r="R98" s="315"/>
    </row>
    <row r="99" spans="1:18" ht="45">
      <c r="A99" s="319"/>
      <c r="B99" s="320" t="s">
        <v>124</v>
      </c>
      <c r="C99" s="321"/>
      <c r="D99" s="321"/>
      <c r="E99" s="321"/>
      <c r="F99" s="321"/>
      <c r="G99" s="321"/>
      <c r="H99" s="321"/>
      <c r="I99" s="321"/>
      <c r="J99" s="321"/>
      <c r="K99" s="321"/>
      <c r="L99" s="321"/>
      <c r="M99" s="321"/>
      <c r="N99" s="321"/>
      <c r="O99" s="321"/>
      <c r="P99" s="320" t="s">
        <v>119</v>
      </c>
      <c r="Q99" s="320" t="s">
        <v>127</v>
      </c>
      <c r="R99" s="320" t="s">
        <v>128</v>
      </c>
    </row>
    <row r="100" spans="1:18">
      <c r="A100" s="184" t="s">
        <v>154</v>
      </c>
      <c r="B100" s="326"/>
      <c r="C100" s="327"/>
      <c r="D100" s="327"/>
      <c r="E100" s="327"/>
      <c r="F100" s="327"/>
      <c r="G100" s="327"/>
      <c r="H100" s="327"/>
      <c r="I100" s="327"/>
      <c r="J100" s="327"/>
      <c r="K100" s="327"/>
      <c r="L100" s="327"/>
      <c r="M100" s="327"/>
      <c r="N100" s="327"/>
      <c r="O100" s="327"/>
      <c r="P100" s="326"/>
      <c r="Q100" s="326"/>
      <c r="R100" s="328"/>
    </row>
    <row r="101" spans="1:18">
      <c r="A101" s="322" t="s">
        <v>104</v>
      </c>
      <c r="B101" s="323"/>
      <c r="C101" s="324"/>
      <c r="D101" s="324"/>
      <c r="E101" s="324"/>
      <c r="F101" s="324"/>
      <c r="G101" s="324"/>
      <c r="H101" s="324"/>
      <c r="I101" s="324"/>
      <c r="J101" s="324"/>
      <c r="K101" s="324"/>
      <c r="L101" s="324"/>
      <c r="M101" s="324"/>
      <c r="N101" s="324"/>
      <c r="O101" s="324"/>
      <c r="P101" s="325">
        <f>T36*$B$81*$Q$84*$Q$88/100</f>
        <v>2.4208926665938643E-2</v>
      </c>
      <c r="Q101" s="325">
        <f>U36*$B$81*$Q$84*$Q$88/100</f>
        <v>3.221159327051714E-2</v>
      </c>
      <c r="R101" s="325">
        <f>V36*$B$81*$Q$84*$Q$88/100</f>
        <v>1.6779791717633656E-2</v>
      </c>
    </row>
    <row r="102" spans="1:18">
      <c r="A102" s="318" t="s">
        <v>153</v>
      </c>
      <c r="B102" s="225"/>
      <c r="C102" s="13"/>
      <c r="D102" s="13"/>
      <c r="E102" s="13"/>
      <c r="F102" s="13"/>
      <c r="G102" s="13"/>
      <c r="H102" s="13"/>
      <c r="I102" s="13"/>
      <c r="J102" s="13"/>
      <c r="K102" s="13"/>
      <c r="L102" s="13"/>
      <c r="M102" s="13"/>
      <c r="N102" s="13"/>
      <c r="O102" s="13"/>
      <c r="P102" s="10">
        <f>T40*$B$81*$Q$84*$Q$88/100</f>
        <v>0.17157704502736823</v>
      </c>
      <c r="Q102" s="10">
        <f>U40*$B$81*$Q$84*$Q$88/100</f>
        <v>0.42108659562581224</v>
      </c>
      <c r="R102" s="10">
        <f>V40*$B$81*$Q$84*$Q$88/100</f>
        <v>0.16684158727682583</v>
      </c>
    </row>
    <row r="103" spans="1:18">
      <c r="A103" s="184" t="s">
        <v>703</v>
      </c>
      <c r="B103" s="326"/>
      <c r="C103" s="327"/>
      <c r="D103" s="327"/>
      <c r="E103" s="327"/>
      <c r="F103" s="327"/>
      <c r="G103" s="327"/>
      <c r="H103" s="327"/>
      <c r="I103" s="327"/>
      <c r="J103" s="327"/>
      <c r="K103" s="327"/>
      <c r="L103" s="327"/>
      <c r="M103" s="327"/>
      <c r="N103" s="327"/>
      <c r="O103" s="327"/>
      <c r="P103" s="326"/>
      <c r="Q103" s="326"/>
      <c r="R103" s="328"/>
    </row>
    <row r="104" spans="1:18" ht="30">
      <c r="A104" s="318" t="s">
        <v>152</v>
      </c>
      <c r="B104" s="225"/>
      <c r="C104" s="13"/>
      <c r="D104" s="13"/>
      <c r="E104" s="13"/>
      <c r="F104" s="13"/>
      <c r="G104" s="13"/>
      <c r="H104" s="13"/>
      <c r="I104" s="13"/>
      <c r="J104" s="13"/>
      <c r="K104" s="13"/>
      <c r="L104" s="13"/>
      <c r="M104" s="13"/>
      <c r="N104" s="13"/>
      <c r="O104" s="13"/>
      <c r="P104" s="10">
        <f>T39*$B$81*$Q$84*$Q$88/100</f>
        <v>2.9568476029862346E-3</v>
      </c>
      <c r="Q104" s="10">
        <f>U39*$B$81*$Q$84*$Q$88/100</f>
        <v>2.339792509625896E-3</v>
      </c>
      <c r="R104" s="10">
        <f>V39*$B$81*$Q$84*$Q$88/100</f>
        <v>2.1187041508309232E-3</v>
      </c>
    </row>
    <row r="105" spans="1:18">
      <c r="A105" s="318" t="s">
        <v>155</v>
      </c>
      <c r="B105" s="225"/>
      <c r="C105" s="13"/>
      <c r="D105" s="13"/>
      <c r="E105" s="13"/>
      <c r="F105" s="13"/>
      <c r="G105" s="13"/>
      <c r="H105" s="13"/>
      <c r="I105" s="13"/>
      <c r="J105" s="13"/>
      <c r="K105" s="13"/>
      <c r="L105" s="13"/>
      <c r="M105" s="13"/>
      <c r="N105" s="13"/>
      <c r="O105" s="13"/>
      <c r="P105" s="10">
        <f>T44*$B$81*$Q$84*$Q$88/100</f>
        <v>5.5467998411300179E-3</v>
      </c>
      <c r="Q105" s="10">
        <f>U44*$B$81*$Q$84*$Q$88/100</f>
        <v>1.8609536951316355E-2</v>
      </c>
      <c r="R105" s="10">
        <f>V44*$B$81*$Q$84*$Q$88/100</f>
        <v>7.9816156160504078E-3</v>
      </c>
    </row>
    <row r="106" spans="1:18"/>
    <row r="107" spans="1:18" ht="15.75" thickBot="1">
      <c r="P107" s="176" t="str">
        <f>'VOC eksploatacja samochody'!$AA$81</f>
        <v xml:space="preserve">Według opracowania źródłowego, poniższe mnożniki dotyczą wszystkich kategorii kosztów użytkowników dróg, oprócz kosztów czasu. </v>
      </c>
      <c r="Q107" s="176"/>
      <c r="R107" s="176"/>
    </row>
    <row r="108" spans="1:18">
      <c r="P108" s="243" t="s">
        <v>28</v>
      </c>
      <c r="Q108" s="244"/>
      <c r="R108" s="245"/>
    </row>
    <row r="109" spans="1:18" ht="15.75" thickBot="1">
      <c r="P109" s="246"/>
      <c r="Q109" s="247" t="s">
        <v>10</v>
      </c>
      <c r="R109" s="248" t="s">
        <v>6</v>
      </c>
    </row>
    <row r="110" spans="1:18" ht="30">
      <c r="P110" s="233" t="s">
        <v>8</v>
      </c>
      <c r="Q110" s="30">
        <v>1</v>
      </c>
      <c r="R110" s="31">
        <v>1</v>
      </c>
    </row>
    <row r="111" spans="1:18" ht="45">
      <c r="P111" s="233" t="s">
        <v>9</v>
      </c>
      <c r="Q111" s="234">
        <f>AVERAGE(Q112:Q113)</f>
        <v>1.1687500000000002</v>
      </c>
      <c r="R111" s="235">
        <f>AVERAGE(R112:R113)</f>
        <v>1.1875</v>
      </c>
    </row>
    <row r="112" spans="1:18">
      <c r="P112" s="249" t="s">
        <v>129</v>
      </c>
      <c r="Q112" s="250">
        <f>'VOC eksploatacja samochody'!$AB$89</f>
        <v>1.1125</v>
      </c>
      <c r="R112" s="251">
        <f>'VOC eksploatacja samochody'!$AC$89</f>
        <v>1.125</v>
      </c>
    </row>
    <row r="113" spans="1:25" ht="15.75" thickBot="1">
      <c r="P113" s="252" t="s">
        <v>130</v>
      </c>
      <c r="Q113" s="231">
        <f>'VOC eksploatacja samochody'!$AB$95</f>
        <v>1.2250000000000001</v>
      </c>
      <c r="R113" s="232">
        <f>'VOC eksploatacja samochody'!$AC$95</f>
        <v>1.25</v>
      </c>
    </row>
    <row r="114" spans="1:25">
      <c r="P114" s="253" t="str">
        <f>'VOC eksploatacja samochody'!$AA$99</f>
        <v>Źródło: Obliczenia własne na podstawie "Optimisation of Maintenance", OECD/ITF 2012, str. 12</v>
      </c>
      <c r="Q114" s="176"/>
      <c r="R114" s="176"/>
    </row>
    <row r="115" spans="1:25"/>
    <row r="116" spans="1:25">
      <c r="A116" s="754" t="str">
        <f>'VOC eksploatacja samochody'!$A$198</f>
        <v xml:space="preserve">Dodatkowo, dla dróg w terenie falistym (tzn. jeśli nachylenie podłużne drogi wynosi pomiędzy 2% i 6%), należy przemnożyć wartości dla terenu płaskiego przez poniższe współczynniki. </v>
      </c>
      <c r="B116" s="754"/>
      <c r="C116" s="754"/>
      <c r="D116" s="754"/>
      <c r="E116" s="754"/>
      <c r="F116" s="754"/>
      <c r="G116" s="754"/>
      <c r="H116" s="754"/>
      <c r="I116" s="754"/>
      <c r="J116" s="754"/>
      <c r="K116" s="754"/>
      <c r="L116" s="754"/>
      <c r="M116" s="754"/>
      <c r="N116" s="754"/>
      <c r="O116" s="754"/>
      <c r="P116" s="754"/>
      <c r="Q116" s="754"/>
      <c r="R116" s="754"/>
      <c r="S116" s="754"/>
      <c r="T116" s="754"/>
      <c r="U116" s="754"/>
      <c r="V116" s="754"/>
    </row>
    <row r="117" spans="1:25" s="668" customFormat="1">
      <c r="A117" s="754"/>
      <c r="B117" s="754"/>
      <c r="C117" s="754"/>
      <c r="D117" s="754"/>
      <c r="E117" s="754"/>
      <c r="F117" s="754"/>
      <c r="G117" s="754"/>
      <c r="H117" s="754"/>
      <c r="I117" s="754"/>
      <c r="J117" s="754"/>
      <c r="K117" s="754"/>
      <c r="L117" s="754"/>
      <c r="M117" s="754"/>
      <c r="N117" s="754"/>
      <c r="O117" s="754"/>
      <c r="P117" s="754"/>
      <c r="Q117" s="754"/>
      <c r="R117" s="754"/>
      <c r="S117" s="754"/>
      <c r="T117" s="754"/>
      <c r="U117" s="754"/>
      <c r="V117" s="754"/>
    </row>
    <row r="118" spans="1:25">
      <c r="A118" s="754" t="str">
        <f>'VOC eksploatacja samochody'!$A$200</f>
        <v xml:space="preserve">Pominięto współczynniki dla dróg w terenie górskim, tj. o nachyleniu podłużnym powyżej 6%, ponieważ nie mają one istotnego znaczenia dla oceny przez CUPT projektów transportowych realizowanych w Polsce. </v>
      </c>
      <c r="B118" s="754"/>
      <c r="C118" s="754"/>
      <c r="D118" s="754"/>
      <c r="E118" s="754"/>
      <c r="F118" s="754"/>
      <c r="G118" s="754"/>
      <c r="H118" s="754"/>
      <c r="I118" s="754"/>
      <c r="J118" s="754"/>
      <c r="K118" s="754"/>
      <c r="L118" s="754"/>
      <c r="M118" s="754"/>
      <c r="N118" s="754"/>
      <c r="O118" s="754"/>
      <c r="P118" s="754"/>
      <c r="Q118" s="754"/>
      <c r="R118" s="754"/>
      <c r="S118" s="754"/>
      <c r="T118" s="754"/>
      <c r="U118" s="754"/>
      <c r="V118" s="754"/>
    </row>
    <row r="119" spans="1:25" s="668" customFormat="1">
      <c r="A119" s="754"/>
      <c r="B119" s="754"/>
      <c r="C119" s="754"/>
      <c r="D119" s="754"/>
      <c r="E119" s="754"/>
      <c r="F119" s="754"/>
      <c r="G119" s="754"/>
      <c r="H119" s="754"/>
      <c r="I119" s="754"/>
      <c r="J119" s="754"/>
      <c r="K119" s="754"/>
      <c r="L119" s="754"/>
      <c r="M119" s="754"/>
      <c r="N119" s="754"/>
      <c r="O119" s="754"/>
      <c r="P119" s="754"/>
      <c r="Q119" s="754"/>
      <c r="R119" s="754"/>
      <c r="S119" s="754"/>
      <c r="T119" s="754"/>
      <c r="U119" s="754"/>
      <c r="V119" s="754"/>
    </row>
    <row r="120" spans="1:25" s="527" customFormat="1" ht="15.75" thickBot="1">
      <c r="A120" s="527" t="s">
        <v>711</v>
      </c>
    </row>
    <row r="121" spans="1:25">
      <c r="P121" s="243" t="s">
        <v>27</v>
      </c>
      <c r="Q121" s="244"/>
      <c r="R121" s="245"/>
    </row>
    <row r="122" spans="1:25" ht="15.75" thickBot="1">
      <c r="P122" s="254" t="s">
        <v>26</v>
      </c>
      <c r="Q122" s="255" t="s">
        <v>10</v>
      </c>
      <c r="R122" s="256" t="s">
        <v>6</v>
      </c>
    </row>
    <row r="123" spans="1:25">
      <c r="P123" s="257" t="s">
        <v>13</v>
      </c>
      <c r="Q123" s="30">
        <f>'Zmiany klimatu (GHG) samochody'!$T$74</f>
        <v>1</v>
      </c>
      <c r="R123" s="31">
        <f>'Zmiany klimatu (GHG) samochody'!$U$74</f>
        <v>1</v>
      </c>
    </row>
    <row r="124" spans="1:25" ht="15.75" thickBot="1">
      <c r="P124" s="258" t="s">
        <v>12</v>
      </c>
      <c r="Q124" s="259">
        <f>'Zmiany klimatu (GHG) samochody'!$T$75</f>
        <v>1.1499999999999999</v>
      </c>
      <c r="R124" s="260">
        <f>'Zmiany klimatu (GHG) samochody'!$U$75</f>
        <v>1.6966788184975283</v>
      </c>
    </row>
    <row r="125" spans="1:25">
      <c r="P125" s="35" t="str">
        <f>'Zmiany klimatu (GHG) samochody'!$S$76</f>
        <v>Źródło: Obliczenia własne</v>
      </c>
      <c r="Q125" s="176"/>
      <c r="R125" s="176"/>
    </row>
    <row r="126" spans="1:25" ht="15" customHeight="1">
      <c r="P126" s="789" t="str">
        <f>'Zmiany klimatu (GHG) samochody'!$S$77</f>
        <v xml:space="preserve">W obliczeniach mnożników nachylenia podłużnego drogi uwzględniono, że teren falisty zwiększa zużycie paliwa lub energii w pojazdach lekkich o 15%. W przypadku HGV przyjęto dodatkowe założenia dotyczące funkcji zużycia paliwa. </v>
      </c>
      <c r="Q126" s="789"/>
      <c r="R126" s="789"/>
      <c r="S126" s="789"/>
      <c r="T126" s="789"/>
      <c r="U126" s="789"/>
      <c r="V126" s="789"/>
      <c r="W126" s="789"/>
      <c r="X126" s="669"/>
      <c r="Y126" s="669"/>
    </row>
    <row r="127" spans="1:25" s="592" customFormat="1">
      <c r="P127" s="789"/>
      <c r="Q127" s="789"/>
      <c r="R127" s="789"/>
      <c r="S127" s="789"/>
      <c r="T127" s="789"/>
      <c r="U127" s="789"/>
      <c r="V127" s="789"/>
      <c r="W127" s="789"/>
      <c r="X127" s="669"/>
      <c r="Y127" s="669"/>
    </row>
    <row r="128" spans="1:25" s="536" customFormat="1"/>
    <row r="129" spans="1:61">
      <c r="A129" s="822" t="s">
        <v>914</v>
      </c>
      <c r="B129" s="822"/>
      <c r="C129" s="822"/>
      <c r="D129" s="822"/>
      <c r="E129" s="822"/>
      <c r="F129" s="822"/>
      <c r="G129" s="822"/>
      <c r="H129" s="822"/>
      <c r="I129" s="822"/>
      <c r="J129" s="822"/>
      <c r="K129" s="822"/>
      <c r="L129" s="822"/>
      <c r="M129" s="822"/>
      <c r="N129" s="822"/>
      <c r="O129" s="822"/>
      <c r="P129" s="822"/>
      <c r="Q129" s="822"/>
      <c r="R129" s="822"/>
      <c r="S129" s="822"/>
      <c r="T129" s="822"/>
      <c r="U129" s="822"/>
      <c r="V129" s="822"/>
    </row>
    <row r="130" spans="1:61" s="668" customFormat="1">
      <c r="A130" s="822"/>
      <c r="B130" s="822"/>
      <c r="C130" s="822"/>
      <c r="D130" s="822"/>
      <c r="E130" s="822"/>
      <c r="F130" s="822"/>
      <c r="G130" s="822"/>
      <c r="H130" s="822"/>
      <c r="I130" s="822"/>
      <c r="J130" s="822"/>
      <c r="K130" s="822"/>
      <c r="L130" s="822"/>
      <c r="M130" s="822"/>
      <c r="N130" s="822"/>
      <c r="O130" s="822"/>
      <c r="P130" s="822"/>
      <c r="Q130" s="822"/>
      <c r="R130" s="822"/>
      <c r="S130" s="822"/>
      <c r="T130" s="822"/>
      <c r="U130" s="822"/>
      <c r="V130" s="822"/>
    </row>
    <row r="131" spans="1:61">
      <c r="A131" s="754" t="s">
        <v>704</v>
      </c>
      <c r="B131" s="754"/>
      <c r="C131" s="754"/>
      <c r="D131" s="754"/>
      <c r="E131" s="754"/>
      <c r="F131" s="754"/>
      <c r="G131" s="754"/>
      <c r="H131" s="754"/>
      <c r="I131" s="754"/>
      <c r="J131" s="754"/>
      <c r="K131" s="754"/>
      <c r="L131" s="754"/>
      <c r="M131" s="754"/>
      <c r="N131" s="754"/>
      <c r="O131" s="754"/>
      <c r="P131" s="754"/>
      <c r="Q131" s="754"/>
      <c r="R131" s="754"/>
      <c r="S131" s="754"/>
      <c r="T131" s="754"/>
      <c r="U131" s="754"/>
      <c r="V131" s="754"/>
    </row>
    <row r="132" spans="1:61" s="668" customFormat="1">
      <c r="A132" s="790"/>
      <c r="B132" s="790"/>
      <c r="C132" s="790"/>
      <c r="D132" s="790"/>
      <c r="E132" s="790"/>
      <c r="F132" s="790"/>
      <c r="G132" s="790"/>
      <c r="H132" s="790"/>
      <c r="I132" s="790"/>
      <c r="J132" s="790"/>
      <c r="K132" s="790"/>
      <c r="L132" s="790"/>
      <c r="M132" s="790"/>
      <c r="N132" s="790"/>
      <c r="O132" s="790"/>
      <c r="P132" s="790"/>
      <c r="Q132" s="790"/>
      <c r="R132" s="790"/>
      <c r="S132" s="790"/>
      <c r="T132" s="790"/>
      <c r="U132" s="790"/>
      <c r="V132" s="790"/>
    </row>
    <row r="133" spans="1:61" s="515" customFormat="1">
      <c r="A133" s="757"/>
      <c r="B133" s="663" t="s">
        <v>309</v>
      </c>
      <c r="C133" s="649"/>
      <c r="D133" s="649"/>
      <c r="E133" s="649"/>
      <c r="F133" s="649"/>
      <c r="G133" s="649"/>
      <c r="H133" s="649"/>
      <c r="I133" s="649"/>
      <c r="J133" s="649"/>
      <c r="K133" s="649"/>
      <c r="L133" s="649"/>
      <c r="M133" s="649"/>
      <c r="N133" s="649"/>
      <c r="O133" s="649"/>
      <c r="P133" s="652"/>
      <c r="Q133" s="6"/>
      <c r="R133" s="6"/>
      <c r="S133" s="6"/>
      <c r="T133" s="6">
        <v>2020</v>
      </c>
      <c r="U133" s="6">
        <f t="shared" ref="U133" si="59">T133+1</f>
        <v>2021</v>
      </c>
      <c r="V133" s="6">
        <f t="shared" ref="V133" si="60">U133+1</f>
        <v>2022</v>
      </c>
      <c r="W133" s="6">
        <f t="shared" ref="W133:BI133" si="61">V133+1</f>
        <v>2023</v>
      </c>
      <c r="X133" s="6">
        <f t="shared" si="61"/>
        <v>2024</v>
      </c>
      <c r="Y133" s="6">
        <f t="shared" si="61"/>
        <v>2025</v>
      </c>
      <c r="Z133" s="6">
        <f t="shared" si="61"/>
        <v>2026</v>
      </c>
      <c r="AA133" s="6">
        <f t="shared" si="61"/>
        <v>2027</v>
      </c>
      <c r="AB133" s="6">
        <f t="shared" si="61"/>
        <v>2028</v>
      </c>
      <c r="AC133" s="6">
        <f t="shared" si="61"/>
        <v>2029</v>
      </c>
      <c r="AD133" s="6">
        <f t="shared" si="61"/>
        <v>2030</v>
      </c>
      <c r="AE133" s="6">
        <f t="shared" si="61"/>
        <v>2031</v>
      </c>
      <c r="AF133" s="6">
        <f t="shared" si="61"/>
        <v>2032</v>
      </c>
      <c r="AG133" s="6">
        <f t="shared" si="61"/>
        <v>2033</v>
      </c>
      <c r="AH133" s="6">
        <f t="shared" si="61"/>
        <v>2034</v>
      </c>
      <c r="AI133" s="6">
        <f t="shared" si="61"/>
        <v>2035</v>
      </c>
      <c r="AJ133" s="6">
        <f t="shared" si="61"/>
        <v>2036</v>
      </c>
      <c r="AK133" s="6">
        <f t="shared" si="61"/>
        <v>2037</v>
      </c>
      <c r="AL133" s="6">
        <f t="shared" si="61"/>
        <v>2038</v>
      </c>
      <c r="AM133" s="6">
        <f t="shared" si="61"/>
        <v>2039</v>
      </c>
      <c r="AN133" s="6">
        <f t="shared" si="61"/>
        <v>2040</v>
      </c>
      <c r="AO133" s="6">
        <f t="shared" si="61"/>
        <v>2041</v>
      </c>
      <c r="AP133" s="6">
        <f t="shared" si="61"/>
        <v>2042</v>
      </c>
      <c r="AQ133" s="6">
        <f t="shared" si="61"/>
        <v>2043</v>
      </c>
      <c r="AR133" s="6">
        <f t="shared" si="61"/>
        <v>2044</v>
      </c>
      <c r="AS133" s="6">
        <f t="shared" si="61"/>
        <v>2045</v>
      </c>
      <c r="AT133" s="6">
        <f t="shared" si="61"/>
        <v>2046</v>
      </c>
      <c r="AU133" s="6">
        <f t="shared" si="61"/>
        <v>2047</v>
      </c>
      <c r="AV133" s="6">
        <f t="shared" si="61"/>
        <v>2048</v>
      </c>
      <c r="AW133" s="6">
        <f t="shared" si="61"/>
        <v>2049</v>
      </c>
      <c r="AX133" s="6">
        <f t="shared" si="61"/>
        <v>2050</v>
      </c>
      <c r="AY133" s="6">
        <f t="shared" si="61"/>
        <v>2051</v>
      </c>
      <c r="AZ133" s="6">
        <f t="shared" si="61"/>
        <v>2052</v>
      </c>
      <c r="BA133" s="6">
        <f t="shared" si="61"/>
        <v>2053</v>
      </c>
      <c r="BB133" s="6">
        <f t="shared" si="61"/>
        <v>2054</v>
      </c>
      <c r="BC133" s="6">
        <f t="shared" si="61"/>
        <v>2055</v>
      </c>
      <c r="BD133" s="6">
        <f t="shared" si="61"/>
        <v>2056</v>
      </c>
      <c r="BE133" s="6">
        <f t="shared" si="61"/>
        <v>2057</v>
      </c>
      <c r="BF133" s="6">
        <f t="shared" si="61"/>
        <v>2058</v>
      </c>
      <c r="BG133" s="6">
        <f t="shared" si="61"/>
        <v>2059</v>
      </c>
      <c r="BH133" s="6">
        <f t="shared" si="61"/>
        <v>2060</v>
      </c>
      <c r="BI133" s="6">
        <f t="shared" si="61"/>
        <v>2061</v>
      </c>
    </row>
    <row r="134" spans="1:61">
      <c r="A134" s="758"/>
      <c r="B134" s="664" t="s">
        <v>510</v>
      </c>
      <c r="C134" s="659"/>
      <c r="D134" s="659"/>
      <c r="E134" s="659"/>
      <c r="F134" s="659"/>
      <c r="G134" s="659"/>
      <c r="H134" s="659"/>
      <c r="I134" s="659"/>
      <c r="J134" s="659"/>
      <c r="K134" s="659"/>
      <c r="L134" s="659"/>
      <c r="M134" s="659"/>
      <c r="N134" s="659"/>
      <c r="O134" s="659"/>
      <c r="P134" s="665"/>
      <c r="Q134" s="661">
        <f>DATE(2016,12,31)</f>
        <v>42735</v>
      </c>
      <c r="R134" s="661">
        <f>DATE(YEAR(Q134+1),12,31)</f>
        <v>43100</v>
      </c>
      <c r="S134" s="661">
        <f t="shared" ref="S134" si="62">DATE(YEAR(R134+1),12,31)</f>
        <v>43465</v>
      </c>
      <c r="T134" s="661">
        <f>DATE(YEAR(S134+1),12,31)</f>
        <v>43830</v>
      </c>
      <c r="U134" s="661">
        <f t="shared" ref="U134:BI134" si="63">DATE(YEAR(T134+1),12,31)</f>
        <v>44196</v>
      </c>
      <c r="V134" s="661">
        <f t="shared" si="63"/>
        <v>44561</v>
      </c>
      <c r="W134" s="661">
        <f t="shared" si="63"/>
        <v>44926</v>
      </c>
      <c r="X134" s="661">
        <f t="shared" si="63"/>
        <v>45291</v>
      </c>
      <c r="Y134" s="661">
        <f t="shared" si="63"/>
        <v>45657</v>
      </c>
      <c r="Z134" s="661">
        <f t="shared" si="63"/>
        <v>46022</v>
      </c>
      <c r="AA134" s="661">
        <f t="shared" si="63"/>
        <v>46387</v>
      </c>
      <c r="AB134" s="661">
        <f t="shared" si="63"/>
        <v>46752</v>
      </c>
      <c r="AC134" s="661">
        <f t="shared" si="63"/>
        <v>47118</v>
      </c>
      <c r="AD134" s="661">
        <f t="shared" si="63"/>
        <v>47483</v>
      </c>
      <c r="AE134" s="661">
        <f t="shared" si="63"/>
        <v>47848</v>
      </c>
      <c r="AF134" s="661">
        <f t="shared" si="63"/>
        <v>48213</v>
      </c>
      <c r="AG134" s="661">
        <f t="shared" si="63"/>
        <v>48579</v>
      </c>
      <c r="AH134" s="661">
        <f t="shared" si="63"/>
        <v>48944</v>
      </c>
      <c r="AI134" s="661">
        <f t="shared" si="63"/>
        <v>49309</v>
      </c>
      <c r="AJ134" s="661">
        <f t="shared" si="63"/>
        <v>49674</v>
      </c>
      <c r="AK134" s="661">
        <f t="shared" si="63"/>
        <v>50040</v>
      </c>
      <c r="AL134" s="661">
        <f t="shared" si="63"/>
        <v>50405</v>
      </c>
      <c r="AM134" s="661">
        <f t="shared" si="63"/>
        <v>50770</v>
      </c>
      <c r="AN134" s="661">
        <f t="shared" si="63"/>
        <v>51135</v>
      </c>
      <c r="AO134" s="661">
        <f t="shared" si="63"/>
        <v>51501</v>
      </c>
      <c r="AP134" s="661">
        <f t="shared" si="63"/>
        <v>51866</v>
      </c>
      <c r="AQ134" s="661">
        <f t="shared" si="63"/>
        <v>52231</v>
      </c>
      <c r="AR134" s="661">
        <f t="shared" si="63"/>
        <v>52596</v>
      </c>
      <c r="AS134" s="661">
        <f t="shared" si="63"/>
        <v>52962</v>
      </c>
      <c r="AT134" s="661">
        <f t="shared" si="63"/>
        <v>53327</v>
      </c>
      <c r="AU134" s="661">
        <f t="shared" si="63"/>
        <v>53692</v>
      </c>
      <c r="AV134" s="661">
        <f t="shared" si="63"/>
        <v>54057</v>
      </c>
      <c r="AW134" s="661">
        <f t="shared" si="63"/>
        <v>54423</v>
      </c>
      <c r="AX134" s="661">
        <f t="shared" si="63"/>
        <v>54788</v>
      </c>
      <c r="AY134" s="661">
        <f t="shared" si="63"/>
        <v>55153</v>
      </c>
      <c r="AZ134" s="661">
        <f t="shared" si="63"/>
        <v>55518</v>
      </c>
      <c r="BA134" s="661">
        <f t="shared" si="63"/>
        <v>55884</v>
      </c>
      <c r="BB134" s="661">
        <f t="shared" si="63"/>
        <v>56249</v>
      </c>
      <c r="BC134" s="661">
        <f t="shared" si="63"/>
        <v>56614</v>
      </c>
      <c r="BD134" s="661">
        <f t="shared" si="63"/>
        <v>56979</v>
      </c>
      <c r="BE134" s="661">
        <f t="shared" si="63"/>
        <v>57345</v>
      </c>
      <c r="BF134" s="661">
        <f t="shared" si="63"/>
        <v>57710</v>
      </c>
      <c r="BG134" s="661">
        <f t="shared" si="63"/>
        <v>58075</v>
      </c>
      <c r="BH134" s="661">
        <f t="shared" si="63"/>
        <v>58440</v>
      </c>
      <c r="BI134" s="661">
        <f t="shared" si="63"/>
        <v>58806</v>
      </c>
    </row>
    <row r="135" spans="1:61" ht="45">
      <c r="A135" s="8" t="s">
        <v>705</v>
      </c>
      <c r="B135" s="110" t="s">
        <v>25</v>
      </c>
      <c r="C135" s="13"/>
      <c r="D135" s="13"/>
      <c r="E135" s="13"/>
      <c r="F135" s="13"/>
      <c r="G135" s="13"/>
      <c r="H135" s="13"/>
      <c r="I135" s="13"/>
      <c r="J135" s="13"/>
      <c r="K135" s="13"/>
      <c r="L135" s="13"/>
      <c r="M135" s="13"/>
      <c r="N135" s="13"/>
      <c r="O135" s="13"/>
      <c r="P135" s="13"/>
      <c r="Q135" s="78"/>
      <c r="R135" s="78"/>
      <c r="S135" s="78"/>
      <c r="T135" s="10">
        <f t="shared" ref="T135:U135" si="64">$Q$101*$Q$110*$Q$123*T$96</f>
        <v>3.8562110831023212E-2</v>
      </c>
      <c r="U135" s="10">
        <f t="shared" si="64"/>
        <v>3.9230326634085669E-2</v>
      </c>
      <c r="V135" s="10">
        <f>$Q$101*$Q$110*$Q$123*V$96</f>
        <v>4.3517889664110035E-2</v>
      </c>
      <c r="W135" s="10">
        <f t="shared" ref="W135:BI135" si="65">$Q$101*$Q$110*$Q$123*W$96</f>
        <v>5.2023160426244101E-2</v>
      </c>
      <c r="X135" s="10">
        <f t="shared" si="65"/>
        <v>5.8046846587812929E-2</v>
      </c>
      <c r="Y135" s="10">
        <f t="shared" si="65"/>
        <v>5.9637862776967449E-2</v>
      </c>
      <c r="Z135" s="10">
        <f t="shared" si="65"/>
        <v>6.1561645188440754E-2</v>
      </c>
      <c r="AA135" s="10">
        <f t="shared" si="65"/>
        <v>6.3404637482072299E-2</v>
      </c>
      <c r="AB135" s="10">
        <f t="shared" si="65"/>
        <v>6.4974062025360199E-2</v>
      </c>
      <c r="AC135" s="10">
        <f t="shared" si="65"/>
        <v>6.6587976520441183E-2</v>
      </c>
      <c r="AD135" s="10">
        <f t="shared" si="65"/>
        <v>6.8198525384389613E-2</v>
      </c>
      <c r="AE135" s="10">
        <f t="shared" si="65"/>
        <v>6.9802409219198891E-2</v>
      </c>
      <c r="AF135" s="10">
        <f t="shared" si="65"/>
        <v>7.1307571031057462E-2</v>
      </c>
      <c r="AG135" s="10">
        <f t="shared" si="65"/>
        <v>7.2754134495055925E-2</v>
      </c>
      <c r="AH135" s="10">
        <f t="shared" si="65"/>
        <v>7.4250670370417396E-2</v>
      </c>
      <c r="AI135" s="10">
        <f t="shared" si="65"/>
        <v>7.5790413680604463E-2</v>
      </c>
      <c r="AJ135" s="10">
        <f t="shared" si="65"/>
        <v>7.7252491233208459E-2</v>
      </c>
      <c r="AK135" s="10">
        <f t="shared" si="65"/>
        <v>7.8691552011942292E-2</v>
      </c>
      <c r="AL135" s="10">
        <f t="shared" si="65"/>
        <v>8.0100026735143007E-2</v>
      </c>
      <c r="AM135" s="10">
        <f t="shared" si="65"/>
        <v>8.1478453543325682E-2</v>
      </c>
      <c r="AN135" s="10">
        <f t="shared" si="65"/>
        <v>8.2757215475959892E-2</v>
      </c>
      <c r="AO135" s="10">
        <f t="shared" si="65"/>
        <v>8.3929343814357113E-2</v>
      </c>
      <c r="AP135" s="10">
        <f t="shared" si="65"/>
        <v>8.5056480717266361E-2</v>
      </c>
      <c r="AQ135" s="10">
        <f t="shared" si="65"/>
        <v>8.6067226352892073E-2</v>
      </c>
      <c r="AR135" s="10">
        <f t="shared" si="65"/>
        <v>8.7021469980764571E-2</v>
      </c>
      <c r="AS135" s="10">
        <f t="shared" si="65"/>
        <v>8.799134979967034E-2</v>
      </c>
      <c r="AT135" s="10">
        <f t="shared" si="65"/>
        <v>8.8982368493013067E-2</v>
      </c>
      <c r="AU135" s="10">
        <f t="shared" si="65"/>
        <v>8.9989305236391454E-2</v>
      </c>
      <c r="AV135" s="10">
        <f t="shared" si="65"/>
        <v>9.1012329327125635E-2</v>
      </c>
      <c r="AW135" s="10">
        <f t="shared" si="65"/>
        <v>9.2052666282353368E-2</v>
      </c>
      <c r="AX135" s="10">
        <f t="shared" si="65"/>
        <v>9.3032326359730397E-2</v>
      </c>
      <c r="AY135" s="10">
        <f t="shared" si="65"/>
        <v>9.4029274344035449E-2</v>
      </c>
      <c r="AZ135" s="10">
        <f t="shared" si="65"/>
        <v>9.5044514694160309E-2</v>
      </c>
      <c r="BA135" s="10">
        <f t="shared" si="65"/>
        <v>9.6085449879534407E-2</v>
      </c>
      <c r="BB135" s="10">
        <f t="shared" si="65"/>
        <v>9.7224123859787098E-2</v>
      </c>
      <c r="BC135" s="10">
        <f t="shared" si="65"/>
        <v>9.8386251745150824E-2</v>
      </c>
      <c r="BD135" s="10">
        <f t="shared" si="65"/>
        <v>9.9573452865100456E-2</v>
      </c>
      <c r="BE135" s="10">
        <f t="shared" si="65"/>
        <v>0.10078617063188529</v>
      </c>
      <c r="BF135" s="10">
        <f t="shared" si="65"/>
        <v>0.1021062806890269</v>
      </c>
      <c r="BG135" s="10">
        <f t="shared" si="65"/>
        <v>0.10346243852579627</v>
      </c>
      <c r="BH135" s="10">
        <f t="shared" si="65"/>
        <v>0.10484878111404632</v>
      </c>
      <c r="BI135" s="10">
        <f t="shared" si="65"/>
        <v>0.10634436879613386</v>
      </c>
    </row>
    <row r="136" spans="1:61" ht="45">
      <c r="A136" s="8" t="s">
        <v>706</v>
      </c>
      <c r="B136" s="110" t="s">
        <v>25</v>
      </c>
      <c r="C136" s="13"/>
      <c r="D136" s="13"/>
      <c r="E136" s="13"/>
      <c r="F136" s="13"/>
      <c r="G136" s="13"/>
      <c r="H136" s="13"/>
      <c r="I136" s="13"/>
      <c r="J136" s="13"/>
      <c r="K136" s="13"/>
      <c r="L136" s="13"/>
      <c r="M136" s="13"/>
      <c r="N136" s="13"/>
      <c r="O136" s="13"/>
      <c r="P136" s="13"/>
      <c r="Q136" s="78"/>
      <c r="R136" s="78"/>
      <c r="S136" s="78"/>
      <c r="T136" s="10">
        <f t="shared" ref="T136:U136" si="66">$Q$104*$Q$110*$Q$123*T$96</f>
        <v>2.8010827443414811E-3</v>
      </c>
      <c r="U136" s="10">
        <f t="shared" si="66"/>
        <v>2.8496207448585257E-3</v>
      </c>
      <c r="V136" s="10">
        <f>$Q$104*$Q$110*$Q$123*V$96</f>
        <v>3.1610616530417944E-3</v>
      </c>
      <c r="W136" s="10">
        <f t="shared" ref="W136:BI136" si="67">$Q$104*$Q$110*$Q$123*W$96</f>
        <v>3.7788693055367788E-3</v>
      </c>
      <c r="X136" s="10">
        <f t="shared" si="67"/>
        <v>4.2164190921248311E-3</v>
      </c>
      <c r="Y136" s="10">
        <f t="shared" si="67"/>
        <v>4.3319876618262421E-3</v>
      </c>
      <c r="Z136" s="10">
        <f t="shared" si="67"/>
        <v>4.4717277746084078E-3</v>
      </c>
      <c r="AA136" s="10">
        <f t="shared" si="67"/>
        <v>4.6055994377615693E-3</v>
      </c>
      <c r="AB136" s="10">
        <f t="shared" si="67"/>
        <v>4.7195996289340165E-3</v>
      </c>
      <c r="AC136" s="10">
        <f t="shared" si="67"/>
        <v>4.836831490613566E-3</v>
      </c>
      <c r="AD136" s="10">
        <f t="shared" si="67"/>
        <v>4.9538188788686554E-3</v>
      </c>
      <c r="AE136" s="10">
        <f t="shared" si="67"/>
        <v>5.0703221313306082E-3</v>
      </c>
      <c r="AF136" s="10">
        <f t="shared" si="67"/>
        <v>5.1796543926560688E-3</v>
      </c>
      <c r="AG136" s="10">
        <f t="shared" si="67"/>
        <v>5.284730174823604E-3</v>
      </c>
      <c r="AH136" s="10">
        <f t="shared" si="67"/>
        <v>5.3934358635534486E-3</v>
      </c>
      <c r="AI136" s="10">
        <f t="shared" si="67"/>
        <v>5.50528006305226E-3</v>
      </c>
      <c r="AJ136" s="10">
        <f t="shared" si="67"/>
        <v>5.6114827608618762E-3</v>
      </c>
      <c r="AK136" s="10">
        <f t="shared" si="67"/>
        <v>5.71601356139386E-3</v>
      </c>
      <c r="AL136" s="10">
        <f t="shared" si="67"/>
        <v>5.8183226455694268E-3</v>
      </c>
      <c r="AM136" s="10">
        <f t="shared" si="67"/>
        <v>5.9184491029528738E-3</v>
      </c>
      <c r="AN136" s="10">
        <f t="shared" si="67"/>
        <v>6.0113360820738607E-3</v>
      </c>
      <c r="AO136" s="10">
        <f t="shared" si="67"/>
        <v>6.0964773876736765E-3</v>
      </c>
      <c r="AP136" s="10">
        <f t="shared" si="67"/>
        <v>6.1783505958879327E-3</v>
      </c>
      <c r="AQ136" s="10">
        <f t="shared" si="67"/>
        <v>6.2517693506670916E-3</v>
      </c>
      <c r="AR136" s="10">
        <f t="shared" si="67"/>
        <v>6.3210839006834019E-3</v>
      </c>
      <c r="AS136" s="10">
        <f t="shared" si="67"/>
        <v>6.3915342356437067E-3</v>
      </c>
      <c r="AT136" s="10">
        <f t="shared" si="67"/>
        <v>6.4635200606263203E-3</v>
      </c>
      <c r="AU136" s="10">
        <f t="shared" si="67"/>
        <v>6.5366621442866238E-3</v>
      </c>
      <c r="AV136" s="10">
        <f t="shared" si="67"/>
        <v>6.6109727840790852E-3</v>
      </c>
      <c r="AW136" s="10">
        <f t="shared" si="67"/>
        <v>6.6865409993761785E-3</v>
      </c>
      <c r="AX136" s="10">
        <f t="shared" si="67"/>
        <v>6.7577017548152568E-3</v>
      </c>
      <c r="AY136" s="10">
        <f t="shared" si="67"/>
        <v>6.8301182728860536E-3</v>
      </c>
      <c r="AZ136" s="10">
        <f t="shared" si="67"/>
        <v>6.9038635156855261E-3</v>
      </c>
      <c r="BA136" s="10">
        <f t="shared" si="67"/>
        <v>6.9794751853502375E-3</v>
      </c>
      <c r="BB136" s="10">
        <f t="shared" si="67"/>
        <v>7.0621864262232457E-3</v>
      </c>
      <c r="BC136" s="10">
        <f t="shared" si="67"/>
        <v>7.1466013168052104E-3</v>
      </c>
      <c r="BD136" s="10">
        <f t="shared" si="67"/>
        <v>7.2328374822922528E-3</v>
      </c>
      <c r="BE136" s="10">
        <f t="shared" si="67"/>
        <v>7.320927131356912E-3</v>
      </c>
      <c r="BF136" s="10">
        <f t="shared" si="67"/>
        <v>7.4168175642716E-3</v>
      </c>
      <c r="BG136" s="10">
        <f t="shared" si="67"/>
        <v>7.5153264434100866E-3</v>
      </c>
      <c r="BH136" s="10">
        <f t="shared" si="67"/>
        <v>7.6160278888965406E-3</v>
      </c>
      <c r="BI136" s="10">
        <f t="shared" si="67"/>
        <v>7.7246647025632567E-3</v>
      </c>
    </row>
    <row r="137" spans="1:61" s="592" customFormat="1" ht="45">
      <c r="A137" s="8" t="s">
        <v>707</v>
      </c>
      <c r="B137" s="110" t="s">
        <v>25</v>
      </c>
      <c r="C137" s="13"/>
      <c r="D137" s="13"/>
      <c r="E137" s="13"/>
      <c r="F137" s="13"/>
      <c r="G137" s="13"/>
      <c r="H137" s="13"/>
      <c r="I137" s="13"/>
      <c r="J137" s="13"/>
      <c r="K137" s="13"/>
      <c r="L137" s="13"/>
      <c r="M137" s="13"/>
      <c r="N137" s="13"/>
      <c r="O137" s="13"/>
      <c r="P137" s="13"/>
      <c r="Q137" s="78"/>
      <c r="R137" s="78"/>
      <c r="S137" s="78"/>
      <c r="T137" s="10">
        <f t="shared" ref="T137:U137" si="68">$Q$102*$R$110*$R$123*T$96</f>
        <v>0.50410384340855463</v>
      </c>
      <c r="U137" s="10">
        <f t="shared" si="68"/>
        <v>0.51283910575003211</v>
      </c>
      <c r="V137" s="10">
        <f>$Q$102*$R$110*$R$123*V$96</f>
        <v>0.56888834568305169</v>
      </c>
      <c r="W137" s="10">
        <f t="shared" ref="W137:BI137" si="69">$Q$102*$R$110*$R$123*W$96</f>
        <v>0.68007364099040457</v>
      </c>
      <c r="X137" s="10">
        <f t="shared" si="69"/>
        <v>0.75881837980513922</v>
      </c>
      <c r="Y137" s="10">
        <f t="shared" si="69"/>
        <v>0.77961696573816819</v>
      </c>
      <c r="Z137" s="10">
        <f t="shared" si="69"/>
        <v>0.8047656437178311</v>
      </c>
      <c r="AA137" s="10">
        <f t="shared" si="69"/>
        <v>0.82885819152111628</v>
      </c>
      <c r="AB137" s="10">
        <f t="shared" si="69"/>
        <v>0.8493745202998475</v>
      </c>
      <c r="AC137" s="10">
        <f t="shared" si="69"/>
        <v>0.87047244472281715</v>
      </c>
      <c r="AD137" s="10">
        <f t="shared" si="69"/>
        <v>0.89152637187611294</v>
      </c>
      <c r="AE137" s="10">
        <f t="shared" si="69"/>
        <v>0.91249317032371635</v>
      </c>
      <c r="AF137" s="10">
        <f t="shared" si="69"/>
        <v>0.93216942346334652</v>
      </c>
      <c r="AG137" s="10">
        <f t="shared" si="69"/>
        <v>0.95107964871349959</v>
      </c>
      <c r="AH137" s="10">
        <f t="shared" si="69"/>
        <v>0.97064313915296951</v>
      </c>
      <c r="AI137" s="10">
        <f t="shared" si="69"/>
        <v>0.99077145951201662</v>
      </c>
      <c r="AJ137" s="10">
        <f t="shared" si="69"/>
        <v>1.0098844929467969</v>
      </c>
      <c r="AK137" s="10">
        <f t="shared" si="69"/>
        <v>1.028696639217447</v>
      </c>
      <c r="AL137" s="10">
        <f t="shared" si="69"/>
        <v>1.0471089487619254</v>
      </c>
      <c r="AM137" s="10">
        <f t="shared" si="69"/>
        <v>1.0651284564311803</v>
      </c>
      <c r="AN137" s="10">
        <f t="shared" si="69"/>
        <v>1.0818450933359953</v>
      </c>
      <c r="AO137" s="10">
        <f t="shared" si="69"/>
        <v>1.097167760783929</v>
      </c>
      <c r="AP137" s="10">
        <f t="shared" si="69"/>
        <v>1.1119022769335754</v>
      </c>
      <c r="AQ137" s="10">
        <f t="shared" si="69"/>
        <v>1.1251152662810733</v>
      </c>
      <c r="AR137" s="10">
        <f t="shared" si="69"/>
        <v>1.1375896321804537</v>
      </c>
      <c r="AS137" s="10">
        <f t="shared" si="69"/>
        <v>1.1502684024505048</v>
      </c>
      <c r="AT137" s="10">
        <f t="shared" si="69"/>
        <v>1.1632235110127125</v>
      </c>
      <c r="AU137" s="10">
        <f t="shared" si="69"/>
        <v>1.1763867085521473</v>
      </c>
      <c r="AV137" s="10">
        <f t="shared" si="69"/>
        <v>1.1897602082108785</v>
      </c>
      <c r="AW137" s="10">
        <f t="shared" si="69"/>
        <v>1.2033600305823329</v>
      </c>
      <c r="AX137" s="10">
        <f t="shared" si="69"/>
        <v>1.2161666534459958</v>
      </c>
      <c r="AY137" s="10">
        <f t="shared" si="69"/>
        <v>1.2291992727641858</v>
      </c>
      <c r="AZ137" s="10">
        <f t="shared" si="69"/>
        <v>1.2424710193426864</v>
      </c>
      <c r="BA137" s="10">
        <f t="shared" si="69"/>
        <v>1.2560786620878064</v>
      </c>
      <c r="BB137" s="10">
        <f t="shared" si="69"/>
        <v>1.2709639968753643</v>
      </c>
      <c r="BC137" s="10">
        <f t="shared" si="69"/>
        <v>1.2861559332325621</v>
      </c>
      <c r="BD137" s="10">
        <f t="shared" si="69"/>
        <v>1.301675639871237</v>
      </c>
      <c r="BE137" s="10">
        <f t="shared" si="69"/>
        <v>1.3175289133054873</v>
      </c>
      <c r="BF137" s="10">
        <f t="shared" si="69"/>
        <v>1.3347860742644251</v>
      </c>
      <c r="BG137" s="10">
        <f t="shared" si="69"/>
        <v>1.3525144704297638</v>
      </c>
      <c r="BH137" s="10">
        <f t="shared" si="69"/>
        <v>1.3706374572672886</v>
      </c>
      <c r="BI137" s="10">
        <f t="shared" si="69"/>
        <v>1.3901885524342132</v>
      </c>
    </row>
    <row r="138" spans="1:61" s="592" customFormat="1"/>
    <row r="139" spans="1:61"/>
    <row r="140" spans="1:61">
      <c r="A140" s="759" t="s">
        <v>915</v>
      </c>
      <c r="B140" s="759"/>
      <c r="C140" s="759"/>
      <c r="D140" s="759"/>
      <c r="E140" s="759"/>
      <c r="F140" s="759"/>
      <c r="G140" s="759"/>
      <c r="H140" s="759"/>
      <c r="I140" s="759"/>
      <c r="J140" s="759"/>
      <c r="K140" s="759"/>
      <c r="L140" s="759"/>
      <c r="M140" s="759"/>
      <c r="N140" s="759"/>
      <c r="O140" s="759"/>
      <c r="P140" s="759"/>
      <c r="Q140" s="759"/>
      <c r="R140" s="759"/>
      <c r="S140" s="759"/>
      <c r="T140" s="759"/>
      <c r="U140" s="759"/>
      <c r="V140" s="759"/>
    </row>
    <row r="141" spans="1:61" s="668" customFormat="1">
      <c r="A141" s="759"/>
      <c r="B141" s="759"/>
      <c r="C141" s="759"/>
      <c r="D141" s="759"/>
      <c r="E141" s="759"/>
      <c r="F141" s="759"/>
      <c r="G141" s="759"/>
      <c r="H141" s="759"/>
      <c r="I141" s="759"/>
      <c r="J141" s="759"/>
      <c r="K141" s="759"/>
      <c r="L141" s="759"/>
      <c r="M141" s="759"/>
      <c r="N141" s="759"/>
      <c r="O141" s="759"/>
      <c r="P141" s="759"/>
      <c r="Q141" s="759"/>
      <c r="R141" s="759"/>
      <c r="S141" s="759"/>
      <c r="T141" s="759"/>
      <c r="U141" s="759"/>
      <c r="V141" s="759"/>
    </row>
    <row r="142" spans="1:61">
      <c r="A142" s="793" t="s">
        <v>521</v>
      </c>
      <c r="B142" s="793"/>
      <c r="C142" s="793"/>
      <c r="D142" s="793"/>
      <c r="E142" s="793"/>
      <c r="F142" s="793"/>
      <c r="G142" s="793"/>
      <c r="H142" s="793"/>
      <c r="I142" s="793"/>
      <c r="J142" s="793"/>
      <c r="K142" s="793"/>
      <c r="L142" s="793"/>
      <c r="M142" s="793"/>
      <c r="N142" s="793"/>
      <c r="O142" s="793"/>
      <c r="P142" s="793"/>
      <c r="Q142" s="793"/>
      <c r="R142" s="793"/>
      <c r="S142" s="793"/>
      <c r="T142" s="793"/>
      <c r="U142" s="793"/>
      <c r="V142" s="793"/>
    </row>
    <row r="143" spans="1:61" s="668" customFormat="1">
      <c r="A143" s="793"/>
      <c r="B143" s="793"/>
      <c r="C143" s="793"/>
      <c r="D143" s="793"/>
      <c r="E143" s="793"/>
      <c r="F143" s="793"/>
      <c r="G143" s="793"/>
      <c r="H143" s="793"/>
      <c r="I143" s="793"/>
      <c r="J143" s="793"/>
      <c r="K143" s="793"/>
      <c r="L143" s="793"/>
      <c r="M143" s="793"/>
      <c r="N143" s="793"/>
      <c r="O143" s="793"/>
      <c r="P143" s="793"/>
      <c r="Q143" s="793"/>
      <c r="R143" s="793"/>
      <c r="S143" s="793"/>
      <c r="T143" s="793"/>
      <c r="U143" s="793"/>
      <c r="V143" s="793"/>
    </row>
    <row r="144" spans="1:61" s="592" customFormat="1">
      <c r="A144" s="791" t="s">
        <v>712</v>
      </c>
      <c r="B144" s="791"/>
      <c r="C144" s="791"/>
      <c r="D144" s="791"/>
      <c r="E144" s="791"/>
      <c r="F144" s="791"/>
      <c r="G144" s="791"/>
      <c r="H144" s="791"/>
      <c r="I144" s="791"/>
      <c r="J144" s="791"/>
      <c r="K144" s="791"/>
      <c r="L144" s="791"/>
      <c r="M144" s="791"/>
      <c r="N144" s="791"/>
      <c r="O144" s="791"/>
      <c r="P144" s="791"/>
      <c r="Q144" s="791"/>
      <c r="R144" s="791"/>
      <c r="S144" s="791"/>
      <c r="T144" s="791"/>
      <c r="U144" s="791"/>
      <c r="V144" s="791"/>
    </row>
    <row r="145" spans="1:61" s="668" customFormat="1">
      <c r="A145" s="791"/>
      <c r="B145" s="791"/>
      <c r="C145" s="791"/>
      <c r="D145" s="791"/>
      <c r="E145" s="791"/>
      <c r="F145" s="791"/>
      <c r="G145" s="791"/>
      <c r="H145" s="791"/>
      <c r="I145" s="791"/>
      <c r="J145" s="791"/>
      <c r="K145" s="791"/>
      <c r="L145" s="791"/>
      <c r="M145" s="791"/>
      <c r="N145" s="791"/>
      <c r="O145" s="791"/>
      <c r="P145" s="791"/>
      <c r="Q145" s="791"/>
      <c r="R145" s="791"/>
      <c r="S145" s="791"/>
      <c r="T145" s="791"/>
      <c r="U145" s="791"/>
      <c r="V145" s="791"/>
    </row>
    <row r="146" spans="1:61" s="592" customFormat="1">
      <c r="A146" s="792"/>
      <c r="B146" s="792"/>
      <c r="C146" s="792"/>
      <c r="D146" s="792"/>
      <c r="E146" s="792"/>
      <c r="F146" s="792"/>
      <c r="G146" s="792"/>
      <c r="H146" s="792"/>
      <c r="I146" s="792"/>
      <c r="J146" s="792"/>
      <c r="K146" s="792"/>
      <c r="L146" s="792"/>
      <c r="M146" s="792"/>
      <c r="N146" s="792"/>
      <c r="O146" s="792"/>
      <c r="P146" s="792"/>
      <c r="Q146" s="792"/>
      <c r="R146" s="792"/>
      <c r="S146" s="792"/>
      <c r="T146" s="792"/>
      <c r="U146" s="792"/>
      <c r="V146" s="792"/>
    </row>
    <row r="147" spans="1:61">
      <c r="A147" s="757"/>
      <c r="B147" s="663" t="s">
        <v>309</v>
      </c>
      <c r="C147" s="649"/>
      <c r="D147" s="649"/>
      <c r="E147" s="649"/>
      <c r="F147" s="649"/>
      <c r="G147" s="649"/>
      <c r="H147" s="649"/>
      <c r="I147" s="649"/>
      <c r="J147" s="649"/>
      <c r="K147" s="649"/>
      <c r="L147" s="649"/>
      <c r="M147" s="649"/>
      <c r="N147" s="649"/>
      <c r="O147" s="649"/>
      <c r="P147" s="652"/>
      <c r="Q147" s="6"/>
      <c r="R147" s="6"/>
      <c r="S147" s="6"/>
      <c r="T147" s="6">
        <v>2020</v>
      </c>
      <c r="U147" s="6">
        <f t="shared" ref="U147" si="70">T147+1</f>
        <v>2021</v>
      </c>
      <c r="V147" s="6">
        <f t="shared" ref="V147" si="71">U147+1</f>
        <v>2022</v>
      </c>
      <c r="W147" s="6">
        <f t="shared" ref="W147:AK147" si="72">V147+1</f>
        <v>2023</v>
      </c>
      <c r="X147" s="6">
        <f t="shared" si="72"/>
        <v>2024</v>
      </c>
      <c r="Y147" s="6">
        <f t="shared" si="72"/>
        <v>2025</v>
      </c>
      <c r="Z147" s="6">
        <f t="shared" si="72"/>
        <v>2026</v>
      </c>
      <c r="AA147" s="6">
        <f t="shared" si="72"/>
        <v>2027</v>
      </c>
      <c r="AB147" s="6">
        <f t="shared" si="72"/>
        <v>2028</v>
      </c>
      <c r="AC147" s="6">
        <f t="shared" si="72"/>
        <v>2029</v>
      </c>
      <c r="AD147" s="6">
        <f t="shared" si="72"/>
        <v>2030</v>
      </c>
      <c r="AE147" s="6">
        <f t="shared" si="72"/>
        <v>2031</v>
      </c>
      <c r="AF147" s="6">
        <f t="shared" si="72"/>
        <v>2032</v>
      </c>
      <c r="AG147" s="6">
        <f t="shared" si="72"/>
        <v>2033</v>
      </c>
      <c r="AH147" s="6">
        <f t="shared" si="72"/>
        <v>2034</v>
      </c>
      <c r="AI147" s="6">
        <f t="shared" si="72"/>
        <v>2035</v>
      </c>
      <c r="AJ147" s="6">
        <f t="shared" si="72"/>
        <v>2036</v>
      </c>
      <c r="AK147" s="6">
        <f t="shared" si="72"/>
        <v>2037</v>
      </c>
      <c r="AL147" s="6">
        <f t="shared" ref="AL147:BA147" si="73">AK147+1</f>
        <v>2038</v>
      </c>
      <c r="AM147" s="6">
        <f t="shared" si="73"/>
        <v>2039</v>
      </c>
      <c r="AN147" s="6">
        <f t="shared" si="73"/>
        <v>2040</v>
      </c>
      <c r="AO147" s="6">
        <f t="shared" si="73"/>
        <v>2041</v>
      </c>
      <c r="AP147" s="6">
        <f t="shared" si="73"/>
        <v>2042</v>
      </c>
      <c r="AQ147" s="6">
        <f t="shared" si="73"/>
        <v>2043</v>
      </c>
      <c r="AR147" s="6">
        <f t="shared" si="73"/>
        <v>2044</v>
      </c>
      <c r="AS147" s="6">
        <f t="shared" si="73"/>
        <v>2045</v>
      </c>
      <c r="AT147" s="6">
        <f t="shared" si="73"/>
        <v>2046</v>
      </c>
      <c r="AU147" s="6">
        <f t="shared" si="73"/>
        <v>2047</v>
      </c>
      <c r="AV147" s="6">
        <f t="shared" si="73"/>
        <v>2048</v>
      </c>
      <c r="AW147" s="6">
        <f t="shared" si="73"/>
        <v>2049</v>
      </c>
      <c r="AX147" s="6">
        <f t="shared" si="73"/>
        <v>2050</v>
      </c>
      <c r="AY147" s="6">
        <f t="shared" si="73"/>
        <v>2051</v>
      </c>
      <c r="AZ147" s="6">
        <f t="shared" si="73"/>
        <v>2052</v>
      </c>
      <c r="BA147" s="6">
        <f t="shared" si="73"/>
        <v>2053</v>
      </c>
      <c r="BB147" s="6">
        <f t="shared" ref="BB147:BI147" si="74">BA147+1</f>
        <v>2054</v>
      </c>
      <c r="BC147" s="6">
        <f t="shared" si="74"/>
        <v>2055</v>
      </c>
      <c r="BD147" s="6">
        <f t="shared" si="74"/>
        <v>2056</v>
      </c>
      <c r="BE147" s="6">
        <f t="shared" si="74"/>
        <v>2057</v>
      </c>
      <c r="BF147" s="6">
        <f t="shared" si="74"/>
        <v>2058</v>
      </c>
      <c r="BG147" s="6">
        <f t="shared" si="74"/>
        <v>2059</v>
      </c>
      <c r="BH147" s="6">
        <f t="shared" si="74"/>
        <v>2060</v>
      </c>
      <c r="BI147" s="6">
        <f t="shared" si="74"/>
        <v>2061</v>
      </c>
    </row>
    <row r="148" spans="1:61">
      <c r="A148" s="758"/>
      <c r="B148" s="664" t="s">
        <v>510</v>
      </c>
      <c r="C148" s="659"/>
      <c r="D148" s="659"/>
      <c r="E148" s="659"/>
      <c r="F148" s="659"/>
      <c r="G148" s="659"/>
      <c r="H148" s="659"/>
      <c r="I148" s="659"/>
      <c r="J148" s="659"/>
      <c r="K148" s="659"/>
      <c r="L148" s="659"/>
      <c r="M148" s="659"/>
      <c r="N148" s="659"/>
      <c r="O148" s="659"/>
      <c r="P148" s="665"/>
      <c r="Q148" s="661">
        <f>DATE(2016,12,31)</f>
        <v>42735</v>
      </c>
      <c r="R148" s="661">
        <f>DATE(YEAR(Q148+1),12,31)</f>
        <v>43100</v>
      </c>
      <c r="S148" s="661">
        <f t="shared" ref="S148" si="75">DATE(YEAR(R148+1),12,31)</f>
        <v>43465</v>
      </c>
      <c r="T148" s="661">
        <f>DATE(YEAR(S148+1),12,31)</f>
        <v>43830</v>
      </c>
      <c r="U148" s="661">
        <f t="shared" ref="U148:BI148" si="76">DATE(YEAR(T148+1),12,31)</f>
        <v>44196</v>
      </c>
      <c r="V148" s="661">
        <f t="shared" si="76"/>
        <v>44561</v>
      </c>
      <c r="W148" s="661">
        <f t="shared" si="76"/>
        <v>44926</v>
      </c>
      <c r="X148" s="661">
        <f t="shared" si="76"/>
        <v>45291</v>
      </c>
      <c r="Y148" s="661">
        <f t="shared" si="76"/>
        <v>45657</v>
      </c>
      <c r="Z148" s="661">
        <f t="shared" si="76"/>
        <v>46022</v>
      </c>
      <c r="AA148" s="661">
        <f t="shared" si="76"/>
        <v>46387</v>
      </c>
      <c r="AB148" s="661">
        <f t="shared" si="76"/>
        <v>46752</v>
      </c>
      <c r="AC148" s="661">
        <f t="shared" si="76"/>
        <v>47118</v>
      </c>
      <c r="AD148" s="661">
        <f t="shared" si="76"/>
        <v>47483</v>
      </c>
      <c r="AE148" s="661">
        <f t="shared" si="76"/>
        <v>47848</v>
      </c>
      <c r="AF148" s="661">
        <f t="shared" si="76"/>
        <v>48213</v>
      </c>
      <c r="AG148" s="661">
        <f t="shared" si="76"/>
        <v>48579</v>
      </c>
      <c r="AH148" s="661">
        <f t="shared" si="76"/>
        <v>48944</v>
      </c>
      <c r="AI148" s="661">
        <f t="shared" si="76"/>
        <v>49309</v>
      </c>
      <c r="AJ148" s="661">
        <f t="shared" si="76"/>
        <v>49674</v>
      </c>
      <c r="AK148" s="661">
        <f t="shared" si="76"/>
        <v>50040</v>
      </c>
      <c r="AL148" s="661">
        <f t="shared" si="76"/>
        <v>50405</v>
      </c>
      <c r="AM148" s="661">
        <f t="shared" si="76"/>
        <v>50770</v>
      </c>
      <c r="AN148" s="661">
        <f t="shared" si="76"/>
        <v>51135</v>
      </c>
      <c r="AO148" s="661">
        <f t="shared" si="76"/>
        <v>51501</v>
      </c>
      <c r="AP148" s="661">
        <f t="shared" si="76"/>
        <v>51866</v>
      </c>
      <c r="AQ148" s="661">
        <f t="shared" si="76"/>
        <v>52231</v>
      </c>
      <c r="AR148" s="661">
        <f t="shared" si="76"/>
        <v>52596</v>
      </c>
      <c r="AS148" s="661">
        <f t="shared" si="76"/>
        <v>52962</v>
      </c>
      <c r="AT148" s="661">
        <f t="shared" si="76"/>
        <v>53327</v>
      </c>
      <c r="AU148" s="661">
        <f t="shared" si="76"/>
        <v>53692</v>
      </c>
      <c r="AV148" s="661">
        <f t="shared" si="76"/>
        <v>54057</v>
      </c>
      <c r="AW148" s="661">
        <f t="shared" si="76"/>
        <v>54423</v>
      </c>
      <c r="AX148" s="661">
        <f t="shared" si="76"/>
        <v>54788</v>
      </c>
      <c r="AY148" s="661">
        <f t="shared" si="76"/>
        <v>55153</v>
      </c>
      <c r="AZ148" s="661">
        <f t="shared" si="76"/>
        <v>55518</v>
      </c>
      <c r="BA148" s="661">
        <f t="shared" si="76"/>
        <v>55884</v>
      </c>
      <c r="BB148" s="661">
        <f t="shared" si="76"/>
        <v>56249</v>
      </c>
      <c r="BC148" s="661">
        <f t="shared" si="76"/>
        <v>56614</v>
      </c>
      <c r="BD148" s="661">
        <f t="shared" si="76"/>
        <v>56979</v>
      </c>
      <c r="BE148" s="661">
        <f t="shared" si="76"/>
        <v>57345</v>
      </c>
      <c r="BF148" s="661">
        <f t="shared" si="76"/>
        <v>57710</v>
      </c>
      <c r="BG148" s="661">
        <f t="shared" si="76"/>
        <v>58075</v>
      </c>
      <c r="BH148" s="661">
        <f t="shared" si="76"/>
        <v>58440</v>
      </c>
      <c r="BI148" s="661">
        <f t="shared" si="76"/>
        <v>58806</v>
      </c>
    </row>
    <row r="149" spans="1:61" ht="60">
      <c r="A149" s="8" t="s">
        <v>713</v>
      </c>
      <c r="B149" s="110" t="s">
        <v>25</v>
      </c>
      <c r="C149" s="13"/>
      <c r="D149" s="13"/>
      <c r="E149" s="13"/>
      <c r="F149" s="13"/>
      <c r="G149" s="13"/>
      <c r="H149" s="13"/>
      <c r="I149" s="13"/>
      <c r="J149" s="13"/>
      <c r="K149" s="13"/>
      <c r="L149" s="13"/>
      <c r="M149" s="13"/>
      <c r="N149" s="13"/>
      <c r="O149" s="13"/>
      <c r="P149" s="13"/>
      <c r="Q149" s="78"/>
      <c r="R149" s="78"/>
      <c r="S149" s="78"/>
      <c r="T149" s="10">
        <f t="shared" ref="T149:U149" si="77">T$135*U$8+T$136*U$11</f>
        <v>3.8308532631863103E-2</v>
      </c>
      <c r="U149" s="10">
        <f t="shared" si="77"/>
        <v>3.8714382077838443E-2</v>
      </c>
      <c r="V149" s="10">
        <f t="shared" ref="V149:BI149" si="78">V$135*W$8+V$136*W$11</f>
        <v>4.2659389868238209E-2</v>
      </c>
      <c r="W149" s="10">
        <f t="shared" si="78"/>
        <v>5.0654776896274935E-2</v>
      </c>
      <c r="X149" s="10">
        <f t="shared" si="78"/>
        <v>5.6138313249329427E-2</v>
      </c>
      <c r="Y149" s="10">
        <f t="shared" si="78"/>
        <v>5.7284849181159607E-2</v>
      </c>
      <c r="Z149" s="10">
        <f t="shared" si="78"/>
        <v>5.8727909287717775E-2</v>
      </c>
      <c r="AA149" s="10">
        <f t="shared" si="78"/>
        <v>6.006912841483137E-2</v>
      </c>
      <c r="AB149" s="10">
        <f t="shared" si="78"/>
        <v>6.1128731788788242E-2</v>
      </c>
      <c r="AC149" s="10">
        <f t="shared" si="78"/>
        <v>6.2209258963780642E-2</v>
      </c>
      <c r="AD149" s="10">
        <f t="shared" si="78"/>
        <v>6.3265438276958963E-2</v>
      </c>
      <c r="AE149" s="10">
        <f t="shared" si="78"/>
        <v>6.3934445524683622E-2</v>
      </c>
      <c r="AF149" s="10">
        <f t="shared" si="78"/>
        <v>6.4476557242310578E-2</v>
      </c>
      <c r="AG149" s="10">
        <f t="shared" si="78"/>
        <v>6.493105706412497E-2</v>
      </c>
      <c r="AH149" s="10">
        <f t="shared" si="78"/>
        <v>6.5395630012834674E-2</v>
      </c>
      <c r="AI149" s="10">
        <f t="shared" si="78"/>
        <v>6.586263855712518E-2</v>
      </c>
      <c r="AJ149" s="10">
        <f t="shared" si="78"/>
        <v>6.6226940029314285E-2</v>
      </c>
      <c r="AK149" s="10">
        <f t="shared" si="78"/>
        <v>6.6537476083003422E-2</v>
      </c>
      <c r="AL149" s="10">
        <f t="shared" si="78"/>
        <v>6.6788745362291388E-2</v>
      </c>
      <c r="AM149" s="10">
        <f t="shared" si="78"/>
        <v>6.6982266691440112E-2</v>
      </c>
      <c r="AN149" s="10">
        <f t="shared" si="78"/>
        <v>6.7062683139910151E-2</v>
      </c>
      <c r="AO149" s="10">
        <f t="shared" si="78"/>
        <v>6.7027936869802754E-2</v>
      </c>
      <c r="AP149" s="10">
        <f t="shared" si="78"/>
        <v>6.6930286415373547E-2</v>
      </c>
      <c r="AQ149" s="10">
        <f t="shared" si="78"/>
        <v>6.6715968802702558E-2</v>
      </c>
      <c r="AR149" s="10">
        <f t="shared" si="78"/>
        <v>6.6434801491735807E-2</v>
      </c>
      <c r="AS149" s="10">
        <f t="shared" si="78"/>
        <v>6.6142999182402143E-2</v>
      </c>
      <c r="AT149" s="10">
        <f t="shared" si="78"/>
        <v>6.5844083392571751E-2</v>
      </c>
      <c r="AU149" s="10">
        <f t="shared" si="78"/>
        <v>6.5533508178250044E-2</v>
      </c>
      <c r="AV149" s="10">
        <f t="shared" si="78"/>
        <v>6.5210834631916223E-2</v>
      </c>
      <c r="AW149" s="10">
        <f t="shared" si="78"/>
        <v>6.4876360298517483E-2</v>
      </c>
      <c r="AX149" s="10">
        <f t="shared" si="78"/>
        <v>6.4475425615503484E-2</v>
      </c>
      <c r="AY149" s="10">
        <f t="shared" si="78"/>
        <v>6.5166353684484993E-2</v>
      </c>
      <c r="AZ149" s="10">
        <f t="shared" si="78"/>
        <v>6.5869959154085153E-2</v>
      </c>
      <c r="BA149" s="10">
        <f t="shared" si="78"/>
        <v>6.6591372255759451E-2</v>
      </c>
      <c r="BB149" s="10">
        <f t="shared" si="78"/>
        <v>6.7380522569277471E-2</v>
      </c>
      <c r="BC149" s="10">
        <f t="shared" si="78"/>
        <v>6.8185927453368433E-2</v>
      </c>
      <c r="BD149" s="10">
        <f t="shared" si="78"/>
        <v>6.9008709173390942E-2</v>
      </c>
      <c r="BE149" s="10">
        <f t="shared" si="78"/>
        <v>6.9849175033210392E-2</v>
      </c>
      <c r="BF149" s="10">
        <f t="shared" si="78"/>
        <v>7.0764068394732899E-2</v>
      </c>
      <c r="BG149" s="10">
        <f t="shared" si="78"/>
        <v>7.1703944426526445E-2</v>
      </c>
      <c r="BH149" s="10">
        <f t="shared" si="78"/>
        <v>7.2664739796521743E-2</v>
      </c>
      <c r="BI149" s="10">
        <f t="shared" si="78"/>
        <v>7.3701246741161991E-2</v>
      </c>
    </row>
    <row r="150" spans="1:61" ht="60">
      <c r="A150" s="8" t="s">
        <v>714</v>
      </c>
      <c r="B150" s="110" t="s">
        <v>25</v>
      </c>
      <c r="C150" s="13"/>
      <c r="D150" s="13"/>
      <c r="E150" s="13"/>
      <c r="F150" s="13"/>
      <c r="G150" s="13"/>
      <c r="H150" s="13"/>
      <c r="I150" s="13"/>
      <c r="J150" s="13"/>
      <c r="K150" s="13"/>
      <c r="L150" s="13"/>
      <c r="M150" s="13"/>
      <c r="N150" s="13"/>
      <c r="O150" s="13"/>
      <c r="P150" s="13"/>
      <c r="Q150" s="78"/>
      <c r="R150" s="78"/>
      <c r="S150" s="78"/>
      <c r="T150" s="10">
        <f t="shared" ref="T150:U150" si="79">T$137*U$15+(0)*U$16</f>
        <v>0.50410384340855463</v>
      </c>
      <c r="U150" s="10">
        <f t="shared" si="79"/>
        <v>0.51283910575003211</v>
      </c>
      <c r="V150" s="10">
        <f t="shared" ref="V150:BI150" si="80">V$137*W$15+(0)*W$16</f>
        <v>0.56888834568305169</v>
      </c>
      <c r="W150" s="10">
        <f t="shared" si="80"/>
        <v>0.68007364099040457</v>
      </c>
      <c r="X150" s="10">
        <f t="shared" si="80"/>
        <v>0.75881837980513922</v>
      </c>
      <c r="Y150" s="10">
        <f t="shared" si="80"/>
        <v>0.77961696573816819</v>
      </c>
      <c r="Z150" s="10">
        <f t="shared" si="80"/>
        <v>0.8047656437178311</v>
      </c>
      <c r="AA150" s="10">
        <f t="shared" si="80"/>
        <v>0.82885819152111628</v>
      </c>
      <c r="AB150" s="10">
        <f t="shared" si="80"/>
        <v>0.8493745202998475</v>
      </c>
      <c r="AC150" s="10">
        <f t="shared" si="80"/>
        <v>0.87047244472281715</v>
      </c>
      <c r="AD150" s="10">
        <f t="shared" si="80"/>
        <v>0.89152637187611294</v>
      </c>
      <c r="AE150" s="10">
        <f t="shared" si="80"/>
        <v>0.91249317032371635</v>
      </c>
      <c r="AF150" s="10">
        <f t="shared" si="80"/>
        <v>0.93216942346334652</v>
      </c>
      <c r="AG150" s="10">
        <f t="shared" si="80"/>
        <v>0.95107964871349959</v>
      </c>
      <c r="AH150" s="10">
        <f t="shared" si="80"/>
        <v>0.97064313915296951</v>
      </c>
      <c r="AI150" s="10">
        <f t="shared" si="80"/>
        <v>0.99077145951201662</v>
      </c>
      <c r="AJ150" s="10">
        <f t="shared" si="80"/>
        <v>1.0098844929467969</v>
      </c>
      <c r="AK150" s="10">
        <f t="shared" si="80"/>
        <v>1.028696639217447</v>
      </c>
      <c r="AL150" s="10">
        <f t="shared" si="80"/>
        <v>1.0471089487619254</v>
      </c>
      <c r="AM150" s="10">
        <f t="shared" si="80"/>
        <v>1.0651284564311803</v>
      </c>
      <c r="AN150" s="10">
        <f t="shared" si="80"/>
        <v>1.0818450933359953</v>
      </c>
      <c r="AO150" s="10">
        <f t="shared" si="80"/>
        <v>1.097167760783929</v>
      </c>
      <c r="AP150" s="10">
        <f t="shared" si="80"/>
        <v>1.1119022769335754</v>
      </c>
      <c r="AQ150" s="10">
        <f t="shared" si="80"/>
        <v>1.1251152662810733</v>
      </c>
      <c r="AR150" s="10">
        <f t="shared" si="80"/>
        <v>1.1375896321804537</v>
      </c>
      <c r="AS150" s="10">
        <f t="shared" si="80"/>
        <v>1.1502684024505048</v>
      </c>
      <c r="AT150" s="10">
        <f t="shared" si="80"/>
        <v>1.1632235110127125</v>
      </c>
      <c r="AU150" s="10">
        <f t="shared" si="80"/>
        <v>1.1763867085521473</v>
      </c>
      <c r="AV150" s="10">
        <f t="shared" si="80"/>
        <v>1.1897602082108785</v>
      </c>
      <c r="AW150" s="10">
        <f t="shared" si="80"/>
        <v>1.2033600305823329</v>
      </c>
      <c r="AX150" s="10">
        <f t="shared" si="80"/>
        <v>1.2161666534459958</v>
      </c>
      <c r="AY150" s="10">
        <f t="shared" si="80"/>
        <v>1.2291992727641858</v>
      </c>
      <c r="AZ150" s="10">
        <f t="shared" si="80"/>
        <v>1.2424710193426864</v>
      </c>
      <c r="BA150" s="10">
        <f t="shared" si="80"/>
        <v>1.2560786620878064</v>
      </c>
      <c r="BB150" s="10">
        <f t="shared" si="80"/>
        <v>1.2709639968753643</v>
      </c>
      <c r="BC150" s="10">
        <f t="shared" si="80"/>
        <v>1.2861559332325621</v>
      </c>
      <c r="BD150" s="10">
        <f t="shared" si="80"/>
        <v>1.301675639871237</v>
      </c>
      <c r="BE150" s="10">
        <f t="shared" si="80"/>
        <v>1.3175289133054873</v>
      </c>
      <c r="BF150" s="10">
        <f t="shared" si="80"/>
        <v>1.3347860742644251</v>
      </c>
      <c r="BG150" s="10">
        <f t="shared" si="80"/>
        <v>1.3525144704297638</v>
      </c>
      <c r="BH150" s="10">
        <f t="shared" si="80"/>
        <v>1.3706374572672886</v>
      </c>
      <c r="BI150" s="10">
        <f t="shared" si="80"/>
        <v>1.3901885524342132</v>
      </c>
    </row>
    <row r="151" spans="1:61"/>
  </sheetData>
  <mergeCells count="22">
    <mergeCell ref="A18:V19"/>
    <mergeCell ref="A20:V21"/>
    <mergeCell ref="A26:V27"/>
    <mergeCell ref="A28:V29"/>
    <mergeCell ref="A131:V132"/>
    <mergeCell ref="A129:V130"/>
    <mergeCell ref="A116:V117"/>
    <mergeCell ref="A118:V119"/>
    <mergeCell ref="A147:A148"/>
    <mergeCell ref="A133:A134"/>
    <mergeCell ref="T34:V34"/>
    <mergeCell ref="P34:R34"/>
    <mergeCell ref="A74:A75"/>
    <mergeCell ref="B74:B75"/>
    <mergeCell ref="P74:P75"/>
    <mergeCell ref="A59:A60"/>
    <mergeCell ref="B59:B60"/>
    <mergeCell ref="P126:W127"/>
    <mergeCell ref="A140:V141"/>
    <mergeCell ref="A142:V143"/>
    <mergeCell ref="A144:V146"/>
    <mergeCell ref="A91:V92"/>
  </mergeCells>
  <hyperlinks>
    <hyperlink ref="A93" location="Indeksacja!A29" display="Nota metodologiczna"/>
  </hyperlink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Spis tabel</vt:lpstr>
      <vt:lpstr>Indeksacja</vt:lpstr>
      <vt:lpstr>VoT czas pasażerowie</vt:lpstr>
      <vt:lpstr>VoT czas ładunki</vt:lpstr>
      <vt:lpstr>VOC eksploatacja samochody</vt:lpstr>
      <vt:lpstr>VOC eksploatacja pociągi</vt:lpstr>
      <vt:lpstr>Zmiany klimatu (GHG) samochody</vt:lpstr>
      <vt:lpstr>Zmiany klimatu (GHG) pociągi</vt:lpstr>
      <vt:lpstr>Zanieczyszczenia samochody</vt:lpstr>
      <vt:lpstr>Zanieczyszczenia pociągi</vt:lpstr>
      <vt:lpstr>Zanieczyszczenia transp.ląd</vt:lpstr>
      <vt:lpstr>Hałas-zdezagr.krańc</vt:lpstr>
      <vt:lpstr>Hałas-zagreg.śred.PL</vt:lpstr>
      <vt:lpstr>Wypadki</vt:lpstr>
      <vt:lpstr>ECT2019 koszty zewnętrzne</vt:lpstr>
      <vt:lpstr>Utrzymanie dróg</vt:lpstr>
      <vt:lpstr>E-Busy emisje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Mierzejewski</dc:creator>
  <cp:lastModifiedBy>Piotr Mierzejewski</cp:lastModifiedBy>
  <dcterms:created xsi:type="dcterms:W3CDTF">2020-10-08T13:28:33Z</dcterms:created>
  <dcterms:modified xsi:type="dcterms:W3CDTF">2024-05-24T08:15:00Z</dcterms:modified>
</cp:coreProperties>
</file>