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5A91BA9-6EBF-4A29-BA26-4385A131D883}" xr6:coauthVersionLast="47" xr6:coauthVersionMax="47" xr10:uidLastSave="{00000000-0000-0000-0000-000000000000}"/>
  <bookViews>
    <workbookView xWindow="-108" yWindow="-108" windowWidth="23256" windowHeight="13896" tabRatio="810" activeTab="6" xr2:uid="{B69C2030-0B10-4619-9ADA-DB0DA45D7BB9}"/>
  </bookViews>
  <sheets>
    <sheet name="Wstęp" sheetId="11" r:id="rId1"/>
    <sheet name="Założenia" sheetId="1" r:id="rId2"/>
    <sheet name="SF - trwałość operatora" sheetId="2" r:id="rId3"/>
    <sheet name="WPF" sheetId="10" r:id="rId4"/>
    <sheet name="Eksploatacja" sheetId="3" r:id="rId5"/>
    <sheet name="Emisja" sheetId="8" r:id="rId6"/>
    <sheet name="KorzysciEkonomiczne" sheetId="9" r:id="rId7"/>
    <sheet name="AnalizaFin" sheetId="4" r:id="rId8"/>
    <sheet name="AnalizaEkon" sheetId="5" r:id="rId9"/>
    <sheet name="Wrażliwość" sheetId="6" r:id="rId10"/>
    <sheet name="Wyniki" sheetId="12" r:id="rId1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9" l="1"/>
  <c r="F75" i="9"/>
  <c r="D12" i="4"/>
  <c r="D13" i="4"/>
  <c r="D26" i="4"/>
  <c r="D27" i="4"/>
  <c r="C87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I85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I83" i="12"/>
  <c r="D72" i="12"/>
  <c r="D71" i="12"/>
  <c r="D70" i="12"/>
  <c r="C86" i="12" l="1"/>
  <c r="C85" i="12"/>
  <c r="C83" i="12"/>
  <c r="AE81" i="12"/>
  <c r="AF81" i="12"/>
  <c r="AD81" i="12"/>
  <c r="AC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I81" i="12"/>
  <c r="D45" i="1" l="1"/>
  <c r="H79" i="1"/>
  <c r="F79" i="1"/>
  <c r="H75" i="1"/>
  <c r="G97" i="1" l="1"/>
  <c r="H97" i="1"/>
  <c r="I97" i="1"/>
  <c r="J97" i="1"/>
  <c r="F97" i="1"/>
  <c r="G64" i="1"/>
  <c r="H64" i="1"/>
  <c r="I64" i="1"/>
  <c r="J64" i="1"/>
  <c r="F64" i="1"/>
  <c r="G87" i="1" l="1"/>
  <c r="H87" i="1"/>
  <c r="I87" i="1"/>
  <c r="J87" i="1"/>
  <c r="F87" i="1"/>
  <c r="G83" i="1"/>
  <c r="H83" i="1"/>
  <c r="I83" i="1"/>
  <c r="J83" i="1"/>
  <c r="F83" i="1"/>
  <c r="G79" i="1"/>
  <c r="I79" i="1"/>
  <c r="J79" i="1"/>
  <c r="G75" i="1"/>
  <c r="I75" i="1"/>
  <c r="J75" i="1"/>
  <c r="F75" i="1"/>
  <c r="E65" i="12" l="1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H56" i="12"/>
  <c r="F56" i="12"/>
  <c r="D56" i="12"/>
  <c r="H55" i="12"/>
  <c r="F55" i="12"/>
  <c r="D55" i="12"/>
  <c r="H54" i="12"/>
  <c r="F54" i="12"/>
  <c r="D54" i="12"/>
  <c r="H53" i="12"/>
  <c r="F53" i="12"/>
  <c r="D53" i="12"/>
  <c r="H51" i="12"/>
  <c r="F51" i="12"/>
  <c r="D51" i="12"/>
  <c r="H50" i="12"/>
  <c r="F50" i="12"/>
  <c r="D50" i="12"/>
  <c r="H49" i="12"/>
  <c r="F49" i="12"/>
  <c r="D49" i="12"/>
  <c r="H48" i="12"/>
  <c r="F48" i="12"/>
  <c r="D48" i="12"/>
  <c r="H47" i="12"/>
  <c r="F47" i="12"/>
  <c r="D47" i="12"/>
  <c r="H46" i="12"/>
  <c r="F46" i="12"/>
  <c r="D46" i="12"/>
  <c r="H45" i="12"/>
  <c r="F45" i="12"/>
  <c r="D45" i="12"/>
  <c r="H44" i="12"/>
  <c r="F44" i="12"/>
  <c r="D44" i="12"/>
  <c r="H43" i="12"/>
  <c r="F43" i="12"/>
  <c r="D43" i="12"/>
  <c r="H42" i="12"/>
  <c r="F42" i="12"/>
  <c r="D42" i="12"/>
  <c r="H41" i="12"/>
  <c r="F41" i="12"/>
  <c r="D41" i="12"/>
  <c r="H40" i="12"/>
  <c r="F40" i="12"/>
  <c r="D40" i="12"/>
  <c r="H39" i="12"/>
  <c r="F39" i="12"/>
  <c r="D39" i="12"/>
  <c r="H38" i="12"/>
  <c r="F38" i="12"/>
  <c r="D38" i="12"/>
  <c r="H37" i="12"/>
  <c r="F37" i="12"/>
  <c r="D37" i="12"/>
  <c r="H36" i="12"/>
  <c r="F36" i="12"/>
  <c r="D36" i="12"/>
  <c r="H35" i="12"/>
  <c r="F35" i="12"/>
  <c r="D35" i="12"/>
  <c r="H34" i="12"/>
  <c r="F34" i="12"/>
  <c r="D34" i="12"/>
  <c r="H33" i="12"/>
  <c r="F33" i="12"/>
  <c r="D33" i="12"/>
  <c r="H32" i="12"/>
  <c r="F32" i="12"/>
  <c r="D32" i="12"/>
  <c r="H31" i="12"/>
  <c r="F31" i="12"/>
  <c r="D31" i="12"/>
  <c r="H30" i="12"/>
  <c r="F30" i="12"/>
  <c r="D30" i="12"/>
  <c r="H29" i="12"/>
  <c r="F29" i="12"/>
  <c r="D29" i="12"/>
  <c r="H28" i="12"/>
  <c r="F28" i="12"/>
  <c r="D28" i="12"/>
  <c r="H27" i="12"/>
  <c r="F27" i="12"/>
  <c r="D27" i="12"/>
  <c r="H26" i="12"/>
  <c r="F26" i="12"/>
  <c r="D26" i="12"/>
  <c r="H25" i="12"/>
  <c r="F25" i="12"/>
  <c r="D25" i="12"/>
  <c r="H24" i="12"/>
  <c r="F24" i="12"/>
  <c r="D24" i="12"/>
  <c r="B59" i="8"/>
  <c r="B53" i="8"/>
  <c r="F52" i="9" l="1"/>
  <c r="F51" i="9"/>
  <c r="F50" i="9"/>
  <c r="E52" i="9"/>
  <c r="E51" i="9"/>
  <c r="E50" i="9"/>
  <c r="D52" i="9"/>
  <c r="D51" i="9"/>
  <c r="D50" i="9"/>
  <c r="F44" i="3" l="1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E44" i="3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D94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D86" i="2"/>
  <c r="A14" i="3" l="1"/>
  <c r="A13" i="3"/>
  <c r="A12" i="3"/>
  <c r="A39" i="3"/>
  <c r="A38" i="3"/>
  <c r="A37" i="3"/>
  <c r="F129" i="1"/>
  <c r="E129" i="1"/>
  <c r="D129" i="1"/>
  <c r="F117" i="1"/>
  <c r="E117" i="1"/>
  <c r="D117" i="1"/>
  <c r="I13" i="6" l="1"/>
  <c r="I14" i="6"/>
  <c r="I15" i="6"/>
  <c r="I12" i="6"/>
  <c r="F46" i="3" l="1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E46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E42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E18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E2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E52" i="3"/>
  <c r="A52" i="9" l="1"/>
  <c r="A51" i="9"/>
  <c r="A50" i="9"/>
  <c r="A48" i="9"/>
  <c r="A47" i="9"/>
  <c r="A46" i="9"/>
  <c r="A31" i="9" l="1"/>
  <c r="A30" i="9"/>
  <c r="A29" i="9"/>
  <c r="A27" i="9"/>
  <c r="A26" i="9"/>
  <c r="A25" i="9"/>
  <c r="A20" i="9"/>
  <c r="A19" i="9"/>
  <c r="A18" i="9"/>
  <c r="A15" i="9"/>
  <c r="A14" i="9"/>
  <c r="A13" i="9"/>
  <c r="A8" i="9"/>
  <c r="A7" i="9"/>
  <c r="A6" i="9"/>
  <c r="A31" i="3"/>
  <c r="A30" i="3"/>
  <c r="A29" i="3"/>
  <c r="B116" i="8"/>
  <c r="B117" i="8" s="1"/>
  <c r="D120" i="8" s="1"/>
  <c r="E31" i="9" s="1"/>
  <c r="B104" i="8"/>
  <c r="B105" i="8" s="1"/>
  <c r="D108" i="8" s="1"/>
  <c r="E30" i="9" s="1"/>
  <c r="B73" i="8"/>
  <c r="B78" i="8" s="1"/>
  <c r="B82" i="8"/>
  <c r="B87" i="8" s="1"/>
  <c r="B81" i="8"/>
  <c r="B72" i="8"/>
  <c r="B80" i="8"/>
  <c r="B71" i="8"/>
  <c r="B62" i="8"/>
  <c r="A35" i="3"/>
  <c r="A34" i="3"/>
  <c r="A33" i="3"/>
  <c r="A9" i="3"/>
  <c r="A8" i="3"/>
  <c r="A7" i="3"/>
  <c r="D30" i="1"/>
  <c r="A33" i="1"/>
  <c r="A32" i="1"/>
  <c r="A31" i="1"/>
  <c r="E170" i="1"/>
  <c r="F170" i="1"/>
  <c r="D170" i="1"/>
  <c r="E127" i="1"/>
  <c r="B102" i="8" s="1"/>
  <c r="F127" i="1"/>
  <c r="B114" i="8" s="1"/>
  <c r="D127" i="1"/>
  <c r="B90" i="8" s="1"/>
  <c r="E115" i="1"/>
  <c r="F115" i="1"/>
  <c r="D115" i="1"/>
  <c r="E128" i="1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F128" i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D128" i="1"/>
  <c r="E37" i="3" s="1"/>
  <c r="B92" i="8"/>
  <c r="B64" i="8"/>
  <c r="D26" i="1"/>
  <c r="H6" i="3" s="1"/>
  <c r="A44" i="1"/>
  <c r="A43" i="1"/>
  <c r="A42" i="1"/>
  <c r="A41" i="1"/>
  <c r="A29" i="1"/>
  <c r="A28" i="1"/>
  <c r="A27" i="1"/>
  <c r="D38" i="1"/>
  <c r="A40" i="1"/>
  <c r="A39" i="1"/>
  <c r="E116" i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F116" i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D116" i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K47" i="1" l="1"/>
  <c r="G47" i="1"/>
  <c r="J47" i="1"/>
  <c r="I47" i="1"/>
  <c r="H47" i="1"/>
  <c r="F47" i="1"/>
  <c r="F120" i="8"/>
  <c r="G31" i="9" s="1"/>
  <c r="N120" i="8"/>
  <c r="O31" i="9" s="1"/>
  <c r="V120" i="8"/>
  <c r="W31" i="9" s="1"/>
  <c r="X120" i="8"/>
  <c r="Y31" i="9" s="1"/>
  <c r="Q120" i="8"/>
  <c r="R31" i="9" s="1"/>
  <c r="J120" i="8"/>
  <c r="K31" i="9" s="1"/>
  <c r="M120" i="8"/>
  <c r="N31" i="9" s="1"/>
  <c r="G120" i="8"/>
  <c r="H31" i="9" s="1"/>
  <c r="O120" i="8"/>
  <c r="P31" i="9" s="1"/>
  <c r="W120" i="8"/>
  <c r="X31" i="9" s="1"/>
  <c r="P120" i="8"/>
  <c r="Q31" i="9" s="1"/>
  <c r="I120" i="8"/>
  <c r="J31" i="9" s="1"/>
  <c r="Y120" i="8"/>
  <c r="Z31" i="9" s="1"/>
  <c r="R120" i="8"/>
  <c r="S31" i="9" s="1"/>
  <c r="H120" i="8"/>
  <c r="I31" i="9" s="1"/>
  <c r="Z120" i="8"/>
  <c r="AA31" i="9" s="1"/>
  <c r="U120" i="8"/>
  <c r="V31" i="9" s="1"/>
  <c r="K120" i="8"/>
  <c r="L31" i="9" s="1"/>
  <c r="S120" i="8"/>
  <c r="T31" i="9" s="1"/>
  <c r="AA120" i="8"/>
  <c r="AB31" i="9" s="1"/>
  <c r="L120" i="8"/>
  <c r="M31" i="9" s="1"/>
  <c r="T120" i="8"/>
  <c r="U31" i="9" s="1"/>
  <c r="AB120" i="8"/>
  <c r="E120" i="8"/>
  <c r="F31" i="9" s="1"/>
  <c r="F108" i="8"/>
  <c r="G30" i="9" s="1"/>
  <c r="N108" i="8"/>
  <c r="O30" i="9" s="1"/>
  <c r="V108" i="8"/>
  <c r="W30" i="9" s="1"/>
  <c r="P108" i="8"/>
  <c r="Q30" i="9" s="1"/>
  <c r="X108" i="8"/>
  <c r="Y30" i="9" s="1"/>
  <c r="I108" i="8"/>
  <c r="J30" i="9" s="1"/>
  <c r="Y108" i="8"/>
  <c r="Z30" i="9" s="1"/>
  <c r="J108" i="8"/>
  <c r="K30" i="9" s="1"/>
  <c r="E108" i="8"/>
  <c r="F30" i="9" s="1"/>
  <c r="G108" i="8"/>
  <c r="H30" i="9" s="1"/>
  <c r="O108" i="8"/>
  <c r="P30" i="9" s="1"/>
  <c r="W108" i="8"/>
  <c r="X30" i="9" s="1"/>
  <c r="H108" i="8"/>
  <c r="I30" i="9" s="1"/>
  <c r="Q108" i="8"/>
  <c r="R30" i="9" s="1"/>
  <c r="R108" i="8"/>
  <c r="S30" i="9" s="1"/>
  <c r="AB108" i="8"/>
  <c r="M108" i="8"/>
  <c r="N30" i="9" s="1"/>
  <c r="Z108" i="8"/>
  <c r="AA30" i="9" s="1"/>
  <c r="U108" i="8"/>
  <c r="V30" i="9" s="1"/>
  <c r="K108" i="8"/>
  <c r="L30" i="9" s="1"/>
  <c r="S108" i="8"/>
  <c r="T30" i="9" s="1"/>
  <c r="AA108" i="8"/>
  <c r="AB30" i="9" s="1"/>
  <c r="L108" i="8"/>
  <c r="M30" i="9" s="1"/>
  <c r="T108" i="8"/>
  <c r="U30" i="9" s="1"/>
  <c r="F37" i="3"/>
  <c r="E30" i="1"/>
  <c r="AA6" i="3"/>
  <c r="W6" i="3"/>
  <c r="S6" i="3"/>
  <c r="O6" i="3"/>
  <c r="K6" i="3"/>
  <c r="G6" i="3"/>
  <c r="Z6" i="3"/>
  <c r="V6" i="3"/>
  <c r="R6" i="3"/>
  <c r="N6" i="3"/>
  <c r="J6" i="3"/>
  <c r="F6" i="3"/>
  <c r="Y6" i="3"/>
  <c r="U6" i="3"/>
  <c r="Q6" i="3"/>
  <c r="M6" i="3"/>
  <c r="I6" i="3"/>
  <c r="E6" i="3"/>
  <c r="X6" i="3"/>
  <c r="T6" i="3"/>
  <c r="P6" i="3"/>
  <c r="L6" i="3"/>
  <c r="E69" i="4"/>
  <c r="F64" i="4"/>
  <c r="F68" i="4" s="1"/>
  <c r="G64" i="4"/>
  <c r="G68" i="4" s="1"/>
  <c r="H64" i="4"/>
  <c r="H68" i="4" s="1"/>
  <c r="I64" i="4"/>
  <c r="I68" i="4" s="1"/>
  <c r="J64" i="4"/>
  <c r="J68" i="4" s="1"/>
  <c r="K64" i="4"/>
  <c r="K68" i="4" s="1"/>
  <c r="L64" i="4"/>
  <c r="L68" i="4" s="1"/>
  <c r="M64" i="4"/>
  <c r="M68" i="4" s="1"/>
  <c r="N64" i="4"/>
  <c r="N68" i="4" s="1"/>
  <c r="O64" i="4"/>
  <c r="O68" i="4" s="1"/>
  <c r="P64" i="4"/>
  <c r="P68" i="4" s="1"/>
  <c r="Q64" i="4"/>
  <c r="Q68" i="4" s="1"/>
  <c r="R64" i="4"/>
  <c r="R68" i="4" s="1"/>
  <c r="S64" i="4"/>
  <c r="S68" i="4" s="1"/>
  <c r="T64" i="4"/>
  <c r="T68" i="4" s="1"/>
  <c r="U64" i="4"/>
  <c r="U68" i="4" s="1"/>
  <c r="V64" i="4"/>
  <c r="V68" i="4" s="1"/>
  <c r="W64" i="4"/>
  <c r="W68" i="4" s="1"/>
  <c r="X64" i="4"/>
  <c r="X68" i="4" s="1"/>
  <c r="Y64" i="4"/>
  <c r="Y68" i="4" s="1"/>
  <c r="Z64" i="4"/>
  <c r="Z68" i="4" s="1"/>
  <c r="AA64" i="4"/>
  <c r="AA68" i="4" s="1"/>
  <c r="AB64" i="4"/>
  <c r="AB68" i="4" s="1"/>
  <c r="E64" i="4"/>
  <c r="E68" i="4" s="1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E51" i="3"/>
  <c r="D62" i="4"/>
  <c r="B5" i="6"/>
  <c r="B6" i="6"/>
  <c r="B7" i="6"/>
  <c r="B4" i="6"/>
  <c r="P63" i="4" l="1"/>
  <c r="Q63" i="4"/>
  <c r="Y63" i="4"/>
  <c r="T63" i="4"/>
  <c r="U63" i="4"/>
  <c r="V63" i="4"/>
  <c r="R63" i="4"/>
  <c r="Z63" i="4"/>
  <c r="M63" i="4"/>
  <c r="N63" i="4"/>
  <c r="W63" i="4"/>
  <c r="X63" i="4"/>
  <c r="S63" i="4"/>
  <c r="AA63" i="4"/>
  <c r="AB63" i="4"/>
  <c r="O63" i="4"/>
  <c r="L63" i="4"/>
  <c r="G37" i="3"/>
  <c r="I55" i="9"/>
  <c r="M55" i="9"/>
  <c r="Q55" i="9"/>
  <c r="U55" i="9"/>
  <c r="Y55" i="9"/>
  <c r="P55" i="9"/>
  <c r="AB55" i="9"/>
  <c r="F55" i="9"/>
  <c r="J55" i="9"/>
  <c r="N55" i="9"/>
  <c r="R55" i="9"/>
  <c r="V55" i="9"/>
  <c r="Z55" i="9"/>
  <c r="H55" i="9"/>
  <c r="T55" i="9"/>
  <c r="G55" i="9"/>
  <c r="K55" i="9"/>
  <c r="O55" i="9"/>
  <c r="S55" i="9"/>
  <c r="W55" i="9"/>
  <c r="AA55" i="9"/>
  <c r="E55" i="9"/>
  <c r="L55" i="9"/>
  <c r="X55" i="9"/>
  <c r="E71" i="4"/>
  <c r="F67" i="4" s="1"/>
  <c r="E70" i="4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E68" i="9"/>
  <c r="E56" i="9"/>
  <c r="E54" i="9"/>
  <c r="E37" i="9"/>
  <c r="F70" i="4" l="1"/>
  <c r="F69" i="4"/>
  <c r="F71" i="4" s="1"/>
  <c r="G67" i="4" s="1"/>
  <c r="G69" i="4" s="1"/>
  <c r="H37" i="3"/>
  <c r="D16" i="1"/>
  <c r="E18" i="1"/>
  <c r="E20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F18" i="1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E21" i="3"/>
  <c r="D66" i="9"/>
  <c r="D21" i="5" l="1"/>
  <c r="D50" i="4"/>
  <c r="I37" i="3"/>
  <c r="E17" i="4"/>
  <c r="N3" i="5"/>
  <c r="R3" i="5"/>
  <c r="V3" i="5"/>
  <c r="Z3" i="5"/>
  <c r="L3" i="4"/>
  <c r="L76" i="4" s="1"/>
  <c r="P3" i="4"/>
  <c r="P76" i="4" s="1"/>
  <c r="T3" i="4"/>
  <c r="T76" i="4" s="1"/>
  <c r="X3" i="4"/>
  <c r="X76" i="4" s="1"/>
  <c r="AB3" i="4"/>
  <c r="AB76" i="4" s="1"/>
  <c r="O3" i="5"/>
  <c r="S3" i="5"/>
  <c r="W3" i="5"/>
  <c r="AA3" i="5"/>
  <c r="M3" i="4"/>
  <c r="M76" i="4" s="1"/>
  <c r="Q3" i="4"/>
  <c r="Q76" i="4" s="1"/>
  <c r="U3" i="4"/>
  <c r="U76" i="4" s="1"/>
  <c r="Y3" i="4"/>
  <c r="Y76" i="4" s="1"/>
  <c r="L3" i="5"/>
  <c r="P3" i="5"/>
  <c r="T3" i="5"/>
  <c r="X3" i="5"/>
  <c r="AB3" i="5"/>
  <c r="E3" i="5"/>
  <c r="N3" i="4"/>
  <c r="N76" i="4" s="1"/>
  <c r="R3" i="4"/>
  <c r="R76" i="4" s="1"/>
  <c r="V3" i="4"/>
  <c r="V76" i="4" s="1"/>
  <c r="Z3" i="4"/>
  <c r="Z76" i="4" s="1"/>
  <c r="M3" i="5"/>
  <c r="Q3" i="5"/>
  <c r="U3" i="5"/>
  <c r="Y3" i="5"/>
  <c r="E84" i="4"/>
  <c r="O3" i="4"/>
  <c r="O76" i="4" s="1"/>
  <c r="S3" i="4"/>
  <c r="S76" i="4" s="1"/>
  <c r="W3" i="4"/>
  <c r="W76" i="4" s="1"/>
  <c r="AA3" i="4"/>
  <c r="AA76" i="4" s="1"/>
  <c r="AA84" i="4"/>
  <c r="R84" i="4"/>
  <c r="U84" i="4"/>
  <c r="X84" i="4"/>
  <c r="M84" i="4"/>
  <c r="W84" i="4"/>
  <c r="N84" i="4"/>
  <c r="Q84" i="4"/>
  <c r="T84" i="4"/>
  <c r="S84" i="4"/>
  <c r="Z84" i="4"/>
  <c r="P84" i="4"/>
  <c r="O84" i="4"/>
  <c r="V84" i="4"/>
  <c r="Y84" i="4"/>
  <c r="AB84" i="4"/>
  <c r="Q82" i="4"/>
  <c r="P82" i="4"/>
  <c r="O82" i="4"/>
  <c r="N82" i="4"/>
  <c r="F16" i="4"/>
  <c r="M82" i="4"/>
  <c r="AB82" i="4"/>
  <c r="L82" i="4"/>
  <c r="AA82" i="4"/>
  <c r="K82" i="4"/>
  <c r="Z82" i="4"/>
  <c r="J82" i="4"/>
  <c r="G80" i="4"/>
  <c r="E80" i="4"/>
  <c r="Y82" i="4"/>
  <c r="I82" i="4"/>
  <c r="X82" i="4"/>
  <c r="H82" i="4"/>
  <c r="W82" i="4"/>
  <c r="G82" i="4"/>
  <c r="V82" i="4"/>
  <c r="F82" i="4"/>
  <c r="G16" i="4"/>
  <c r="E16" i="4"/>
  <c r="U82" i="4"/>
  <c r="E82" i="4"/>
  <c r="T82" i="4"/>
  <c r="S82" i="4"/>
  <c r="R82" i="4"/>
  <c r="F80" i="4"/>
  <c r="E79" i="4"/>
  <c r="F17" i="4"/>
  <c r="F79" i="4"/>
  <c r="E3" i="4"/>
  <c r="E76" i="4" s="1"/>
  <c r="G70" i="4"/>
  <c r="G71" i="4"/>
  <c r="H67" i="4" s="1"/>
  <c r="H69" i="4" s="1"/>
  <c r="H16" i="4" s="1"/>
  <c r="E19" i="1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K105" i="2"/>
  <c r="S105" i="2"/>
  <c r="AA105" i="2"/>
  <c r="E67" i="2"/>
  <c r="E83" i="2"/>
  <c r="D83" i="2"/>
  <c r="D105" i="2"/>
  <c r="D67" i="2"/>
  <c r="E48" i="2"/>
  <c r="F48" i="2"/>
  <c r="G48" i="2"/>
  <c r="H48" i="2"/>
  <c r="I48" i="2"/>
  <c r="J48" i="2"/>
  <c r="K48" i="2"/>
  <c r="K60" i="2" s="1"/>
  <c r="L48" i="2"/>
  <c r="M48" i="2"/>
  <c r="N48" i="2"/>
  <c r="O48" i="2"/>
  <c r="P48" i="2"/>
  <c r="Q48" i="2"/>
  <c r="R48" i="2"/>
  <c r="S48" i="2"/>
  <c r="S60" i="2" s="1"/>
  <c r="T48" i="2"/>
  <c r="U48" i="2"/>
  <c r="U60" i="2" s="1"/>
  <c r="V48" i="2"/>
  <c r="W48" i="2"/>
  <c r="X48" i="2"/>
  <c r="Y48" i="2"/>
  <c r="Z48" i="2"/>
  <c r="AA48" i="2"/>
  <c r="AA60" i="2" s="1"/>
  <c r="E55" i="2"/>
  <c r="F55" i="2"/>
  <c r="G55" i="2"/>
  <c r="H55" i="2"/>
  <c r="I55" i="2"/>
  <c r="I60" i="2" s="1"/>
  <c r="J55" i="2"/>
  <c r="J60" i="2" s="1"/>
  <c r="K55" i="2"/>
  <c r="L55" i="2"/>
  <c r="M55" i="2"/>
  <c r="N55" i="2"/>
  <c r="N60" i="2" s="1"/>
  <c r="O55" i="2"/>
  <c r="P55" i="2"/>
  <c r="Q55" i="2"/>
  <c r="Q60" i="2" s="1"/>
  <c r="R55" i="2"/>
  <c r="S55" i="2"/>
  <c r="T55" i="2"/>
  <c r="U55" i="2"/>
  <c r="V55" i="2"/>
  <c r="W55" i="2"/>
  <c r="X55" i="2"/>
  <c r="Y55" i="2"/>
  <c r="Y60" i="2" s="1"/>
  <c r="Z55" i="2"/>
  <c r="AA55" i="2"/>
  <c r="M60" i="2"/>
  <c r="E41" i="2"/>
  <c r="F41" i="2"/>
  <c r="F46" i="2" s="1"/>
  <c r="G41" i="2"/>
  <c r="H41" i="2"/>
  <c r="I41" i="2"/>
  <c r="J41" i="2"/>
  <c r="K41" i="2"/>
  <c r="L41" i="2"/>
  <c r="M41" i="2"/>
  <c r="N41" i="2"/>
  <c r="N46" i="2" s="1"/>
  <c r="O41" i="2"/>
  <c r="P41" i="2"/>
  <c r="Q41" i="2"/>
  <c r="R41" i="2"/>
  <c r="S41" i="2"/>
  <c r="T41" i="2"/>
  <c r="U41" i="2"/>
  <c r="V41" i="2"/>
  <c r="V46" i="2" s="1"/>
  <c r="W41" i="2"/>
  <c r="X41" i="2"/>
  <c r="Y41" i="2"/>
  <c r="Z41" i="2"/>
  <c r="AA41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55" i="2"/>
  <c r="D48" i="2"/>
  <c r="D41" i="2"/>
  <c r="D34" i="2"/>
  <c r="E4" i="2"/>
  <c r="F4" i="2"/>
  <c r="G4" i="2"/>
  <c r="G14" i="2" s="1"/>
  <c r="H4" i="2"/>
  <c r="I4" i="2"/>
  <c r="I14" i="2" s="1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W14" i="2" s="1"/>
  <c r="X4" i="2"/>
  <c r="Y4" i="2"/>
  <c r="Z4" i="2"/>
  <c r="AA4" i="2"/>
  <c r="E10" i="2"/>
  <c r="E14" i="2" s="1"/>
  <c r="F10" i="2"/>
  <c r="G10" i="2"/>
  <c r="H10" i="2"/>
  <c r="I10" i="2"/>
  <c r="J10" i="2"/>
  <c r="K10" i="2"/>
  <c r="L10" i="2"/>
  <c r="M10" i="2"/>
  <c r="M14" i="2" s="1"/>
  <c r="N10" i="2"/>
  <c r="O10" i="2"/>
  <c r="P10" i="2"/>
  <c r="Q10" i="2"/>
  <c r="R10" i="2"/>
  <c r="S10" i="2"/>
  <c r="S14" i="2" s="1"/>
  <c r="T10" i="2"/>
  <c r="U10" i="2"/>
  <c r="U14" i="2" s="1"/>
  <c r="V10" i="2"/>
  <c r="W10" i="2"/>
  <c r="X10" i="2"/>
  <c r="Y10" i="2"/>
  <c r="Y14" i="2" s="1"/>
  <c r="Z10" i="2"/>
  <c r="AA10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D24" i="2"/>
  <c r="D20" i="2"/>
  <c r="D15" i="2"/>
  <c r="D10" i="2"/>
  <c r="D4" i="2"/>
  <c r="Z14" i="2" l="1"/>
  <c r="R14" i="2"/>
  <c r="J14" i="2"/>
  <c r="R60" i="2"/>
  <c r="Q14" i="2"/>
  <c r="Z60" i="2"/>
  <c r="N61" i="2"/>
  <c r="I19" i="2"/>
  <c r="I27" i="2" s="1"/>
  <c r="I29" i="2" s="1"/>
  <c r="I31" i="2" s="1"/>
  <c r="I66" i="2" s="1"/>
  <c r="I77" i="2" s="1"/>
  <c r="E60" i="2"/>
  <c r="N65" i="4"/>
  <c r="N83" i="4" s="1"/>
  <c r="H80" i="4"/>
  <c r="V14" i="2"/>
  <c r="V19" i="2" s="1"/>
  <c r="V27" i="2" s="1"/>
  <c r="V29" i="2" s="1"/>
  <c r="V31" i="2" s="1"/>
  <c r="V66" i="2" s="1"/>
  <c r="V77" i="2" s="1"/>
  <c r="N14" i="2"/>
  <c r="F14" i="2"/>
  <c r="F60" i="2"/>
  <c r="F61" i="2" s="1"/>
  <c r="U19" i="2"/>
  <c r="U27" i="2" s="1"/>
  <c r="U29" i="2" s="1"/>
  <c r="U31" i="2" s="1"/>
  <c r="U66" i="2" s="1"/>
  <c r="U77" i="2" s="1"/>
  <c r="M19" i="2"/>
  <c r="M27" i="2" s="1"/>
  <c r="M29" i="2" s="1"/>
  <c r="M31" i="2" s="1"/>
  <c r="M66" i="2" s="1"/>
  <c r="M77" i="2" s="1"/>
  <c r="G19" i="2"/>
  <c r="G27" i="2" s="1"/>
  <c r="G29" i="2" s="1"/>
  <c r="G31" i="2" s="1"/>
  <c r="G66" i="2" s="1"/>
  <c r="G77" i="2" s="1"/>
  <c r="D60" i="2"/>
  <c r="V60" i="2"/>
  <c r="V61" i="2" s="1"/>
  <c r="E19" i="2"/>
  <c r="E27" i="2" s="1"/>
  <c r="E29" i="2" s="1"/>
  <c r="E31" i="2" s="1"/>
  <c r="E66" i="2" s="1"/>
  <c r="E77" i="2" s="1"/>
  <c r="Y19" i="2"/>
  <c r="Y27" i="2" s="1"/>
  <c r="Y29" i="2" s="1"/>
  <c r="Y31" i="2" s="1"/>
  <c r="Y66" i="2" s="1"/>
  <c r="Y77" i="2" s="1"/>
  <c r="Q19" i="2"/>
  <c r="Q27" i="2" s="1"/>
  <c r="Q29" i="2" s="1"/>
  <c r="Q31" i="2" s="1"/>
  <c r="Q66" i="2" s="1"/>
  <c r="Q77" i="2" s="1"/>
  <c r="Z46" i="2"/>
  <c r="Z61" i="2" s="1"/>
  <c r="R46" i="2"/>
  <c r="J46" i="2"/>
  <c r="J61" i="2" s="1"/>
  <c r="O60" i="2"/>
  <c r="Q65" i="4"/>
  <c r="Q83" i="4" s="1"/>
  <c r="AA65" i="4"/>
  <c r="AA83" i="4" s="1"/>
  <c r="J37" i="3"/>
  <c r="P65" i="4"/>
  <c r="P83" i="4" s="1"/>
  <c r="R65" i="4"/>
  <c r="R15" i="4" s="1"/>
  <c r="U65" i="4"/>
  <c r="U15" i="4" s="1"/>
  <c r="O65" i="4"/>
  <c r="O83" i="4" s="1"/>
  <c r="T65" i="4"/>
  <c r="T83" i="4" s="1"/>
  <c r="E65" i="4"/>
  <c r="E15" i="4" s="1"/>
  <c r="S19" i="2"/>
  <c r="AA14" i="2"/>
  <c r="AA19" i="2" s="1"/>
  <c r="AA27" i="2" s="1"/>
  <c r="AA29" i="2" s="1"/>
  <c r="AA31" i="2" s="1"/>
  <c r="AA66" i="2" s="1"/>
  <c r="AA77" i="2" s="1"/>
  <c r="AA107" i="2" s="1"/>
  <c r="O14" i="2"/>
  <c r="O19" i="2" s="1"/>
  <c r="O27" i="2" s="1"/>
  <c r="O29" i="2" s="1"/>
  <c r="O31" i="2" s="1"/>
  <c r="O66" i="2" s="1"/>
  <c r="O77" i="2" s="1"/>
  <c r="K14" i="2"/>
  <c r="K19" i="2" s="1"/>
  <c r="K27" i="2" s="1"/>
  <c r="K29" i="2" s="1"/>
  <c r="K31" i="2" s="1"/>
  <c r="K66" i="2" s="1"/>
  <c r="K77" i="2" s="1"/>
  <c r="K107" i="2" s="1"/>
  <c r="D46" i="2"/>
  <c r="D61" i="2" s="1"/>
  <c r="Y46" i="2"/>
  <c r="Y61" i="2" s="1"/>
  <c r="U46" i="2"/>
  <c r="U61" i="2" s="1"/>
  <c r="Q46" i="2"/>
  <c r="Q61" i="2" s="1"/>
  <c r="M46" i="2"/>
  <c r="M61" i="2" s="1"/>
  <c r="I46" i="2"/>
  <c r="I61" i="2" s="1"/>
  <c r="E46" i="2"/>
  <c r="E61" i="2" s="1"/>
  <c r="W60" i="2"/>
  <c r="G60" i="2"/>
  <c r="X46" i="2"/>
  <c r="T46" i="2"/>
  <c r="P46" i="2"/>
  <c r="L46" i="2"/>
  <c r="H46" i="2"/>
  <c r="Z105" i="2"/>
  <c r="V105" i="2"/>
  <c r="R105" i="2"/>
  <c r="N105" i="2"/>
  <c r="J105" i="2"/>
  <c r="F105" i="2"/>
  <c r="W19" i="2"/>
  <c r="W27" i="2" s="1"/>
  <c r="W29" i="2" s="1"/>
  <c r="W31" i="2" s="1"/>
  <c r="W66" i="2" s="1"/>
  <c r="W77" i="2" s="1"/>
  <c r="D14" i="2"/>
  <c r="D19" i="2" s="1"/>
  <c r="D27" i="2" s="1"/>
  <c r="D29" i="2" s="1"/>
  <c r="D31" i="2" s="1"/>
  <c r="D66" i="2" s="1"/>
  <c r="D77" i="2" s="1"/>
  <c r="D107" i="2" s="1"/>
  <c r="D110" i="2" s="1"/>
  <c r="E109" i="2" s="1"/>
  <c r="AA46" i="2"/>
  <c r="AA61" i="2" s="1"/>
  <c r="W46" i="2"/>
  <c r="W61" i="2" s="1"/>
  <c r="S46" i="2"/>
  <c r="S61" i="2" s="1"/>
  <c r="O46" i="2"/>
  <c r="O61" i="2" s="1"/>
  <c r="K46" i="2"/>
  <c r="K61" i="2" s="1"/>
  <c r="G46" i="2"/>
  <c r="G61" i="2" s="1"/>
  <c r="E105" i="2"/>
  <c r="E107" i="2" s="1"/>
  <c r="W105" i="2"/>
  <c r="W107" i="2" s="1"/>
  <c r="O105" i="2"/>
  <c r="G105" i="2"/>
  <c r="Y65" i="4"/>
  <c r="Y15" i="4" s="1"/>
  <c r="S65" i="4"/>
  <c r="S83" i="4" s="1"/>
  <c r="X65" i="4"/>
  <c r="X83" i="4" s="1"/>
  <c r="V65" i="4"/>
  <c r="V83" i="4" s="1"/>
  <c r="M65" i="4"/>
  <c r="M15" i="4" s="1"/>
  <c r="W65" i="4"/>
  <c r="W15" i="4" s="1"/>
  <c r="AB65" i="4"/>
  <c r="AB83" i="4" s="1"/>
  <c r="Z65" i="4"/>
  <c r="Z15" i="4" s="1"/>
  <c r="G79" i="4"/>
  <c r="G17" i="4"/>
  <c r="N15" i="4"/>
  <c r="H71" i="4"/>
  <c r="I67" i="4" s="1"/>
  <c r="I69" i="4" s="1"/>
  <c r="H70" i="4"/>
  <c r="X60" i="2"/>
  <c r="T60" i="2"/>
  <c r="P60" i="2"/>
  <c r="L60" i="2"/>
  <c r="H60" i="2"/>
  <c r="Y105" i="2"/>
  <c r="U105" i="2"/>
  <c r="Q105" i="2"/>
  <c r="M105" i="2"/>
  <c r="M107" i="2" s="1"/>
  <c r="I105" i="2"/>
  <c r="X105" i="2"/>
  <c r="T105" i="2"/>
  <c r="P105" i="2"/>
  <c r="L105" i="2"/>
  <c r="H105" i="2"/>
  <c r="S27" i="2"/>
  <c r="S29" i="2" s="1"/>
  <c r="S31" i="2" s="1"/>
  <c r="S66" i="2" s="1"/>
  <c r="S77" i="2" s="1"/>
  <c r="S107" i="2" s="1"/>
  <c r="X14" i="2"/>
  <c r="X19" i="2" s="1"/>
  <c r="X27" i="2" s="1"/>
  <c r="X29" i="2" s="1"/>
  <c r="X31" i="2" s="1"/>
  <c r="X66" i="2" s="1"/>
  <c r="X77" i="2" s="1"/>
  <c r="T14" i="2"/>
  <c r="T19" i="2" s="1"/>
  <c r="T27" i="2" s="1"/>
  <c r="T29" i="2" s="1"/>
  <c r="T31" i="2" s="1"/>
  <c r="T66" i="2" s="1"/>
  <c r="T77" i="2" s="1"/>
  <c r="P14" i="2"/>
  <c r="P19" i="2" s="1"/>
  <c r="P27" i="2" s="1"/>
  <c r="P29" i="2" s="1"/>
  <c r="P31" i="2" s="1"/>
  <c r="P66" i="2" s="1"/>
  <c r="P77" i="2" s="1"/>
  <c r="L14" i="2"/>
  <c r="L19" i="2" s="1"/>
  <c r="L27" i="2" s="1"/>
  <c r="L29" i="2" s="1"/>
  <c r="L31" i="2" s="1"/>
  <c r="L66" i="2" s="1"/>
  <c r="L77" i="2" s="1"/>
  <c r="H14" i="2"/>
  <c r="H19" i="2" s="1"/>
  <c r="H27" i="2" s="1"/>
  <c r="H29" i="2" s="1"/>
  <c r="H31" i="2" s="1"/>
  <c r="H66" i="2" s="1"/>
  <c r="H77" i="2" s="1"/>
  <c r="Z19" i="2"/>
  <c r="Z27" i="2" s="1"/>
  <c r="Z29" i="2" s="1"/>
  <c r="Z31" i="2" s="1"/>
  <c r="Z66" i="2" s="1"/>
  <c r="Z77" i="2" s="1"/>
  <c r="R19" i="2"/>
  <c r="R27" i="2" s="1"/>
  <c r="R29" i="2" s="1"/>
  <c r="R31" i="2" s="1"/>
  <c r="R66" i="2" s="1"/>
  <c r="R77" i="2" s="1"/>
  <c r="R107" i="2" s="1"/>
  <c r="N19" i="2"/>
  <c r="N27" i="2" s="1"/>
  <c r="N29" i="2" s="1"/>
  <c r="N31" i="2" s="1"/>
  <c r="N66" i="2" s="1"/>
  <c r="N77" i="2" s="1"/>
  <c r="J19" i="2"/>
  <c r="J27" i="2" s="1"/>
  <c r="J29" i="2" s="1"/>
  <c r="J31" i="2" s="1"/>
  <c r="J66" i="2" s="1"/>
  <c r="J77" i="2" s="1"/>
  <c r="J107" i="2" s="1"/>
  <c r="F19" i="2"/>
  <c r="F27" i="2" s="1"/>
  <c r="F29" i="2" s="1"/>
  <c r="F31" i="2" s="1"/>
  <c r="F66" i="2" s="1"/>
  <c r="F77" i="2" s="1"/>
  <c r="B63" i="8"/>
  <c r="Q107" i="2" l="1"/>
  <c r="E110" i="2"/>
  <c r="F109" i="2" s="1"/>
  <c r="Z107" i="2"/>
  <c r="P61" i="2"/>
  <c r="R61" i="2"/>
  <c r="T61" i="2"/>
  <c r="X61" i="2"/>
  <c r="G107" i="2"/>
  <c r="L107" i="2"/>
  <c r="H61" i="2"/>
  <c r="L61" i="2"/>
  <c r="Q15" i="4"/>
  <c r="AA15" i="4"/>
  <c r="I80" i="4"/>
  <c r="I16" i="4"/>
  <c r="U107" i="2"/>
  <c r="Y107" i="2"/>
  <c r="K37" i="3"/>
  <c r="P15" i="4"/>
  <c r="R83" i="4"/>
  <c r="U83" i="4"/>
  <c r="O15" i="4"/>
  <c r="E83" i="4"/>
  <c r="T15" i="4"/>
  <c r="Y83" i="4"/>
  <c r="Z83" i="4"/>
  <c r="S15" i="4"/>
  <c r="W83" i="4"/>
  <c r="T107" i="2"/>
  <c r="F107" i="2"/>
  <c r="F110" i="2" s="1"/>
  <c r="G109" i="2" s="1"/>
  <c r="V107" i="2"/>
  <c r="O107" i="2"/>
  <c r="N107" i="2"/>
  <c r="H107" i="2"/>
  <c r="X107" i="2"/>
  <c r="V15" i="4"/>
  <c r="X15" i="4"/>
  <c r="M83" i="4"/>
  <c r="AB15" i="4"/>
  <c r="H79" i="4"/>
  <c r="H17" i="4"/>
  <c r="I70" i="4"/>
  <c r="I71" i="4"/>
  <c r="J67" i="4" s="1"/>
  <c r="J69" i="4" s="1"/>
  <c r="P107" i="2"/>
  <c r="I107" i="2"/>
  <c r="B93" i="8"/>
  <c r="D96" i="8" s="1"/>
  <c r="E29" i="9" s="1"/>
  <c r="B69" i="8"/>
  <c r="D25" i="9" s="1"/>
  <c r="C36" i="8"/>
  <c r="C31" i="8"/>
  <c r="G110" i="2" l="1"/>
  <c r="H109" i="2" s="1"/>
  <c r="H110" i="2"/>
  <c r="I109" i="2" s="1"/>
  <c r="J16" i="4"/>
  <c r="J80" i="4"/>
  <c r="AB96" i="8"/>
  <c r="T96" i="8"/>
  <c r="U29" i="9" s="1"/>
  <c r="L96" i="8"/>
  <c r="M29" i="9" s="1"/>
  <c r="S96" i="8"/>
  <c r="T29" i="9" s="1"/>
  <c r="K96" i="8"/>
  <c r="L29" i="9" s="1"/>
  <c r="Z96" i="8"/>
  <c r="AA29" i="9" s="1"/>
  <c r="R96" i="8"/>
  <c r="S29" i="9" s="1"/>
  <c r="J96" i="8"/>
  <c r="K29" i="9" s="1"/>
  <c r="I96" i="8"/>
  <c r="J29" i="9" s="1"/>
  <c r="O96" i="8"/>
  <c r="P29" i="9" s="1"/>
  <c r="U96" i="8"/>
  <c r="V29" i="9" s="1"/>
  <c r="AA96" i="8"/>
  <c r="AB29" i="9" s="1"/>
  <c r="W96" i="8"/>
  <c r="X29" i="9" s="1"/>
  <c r="F96" i="8"/>
  <c r="G29" i="9" s="1"/>
  <c r="Y96" i="8"/>
  <c r="Z29" i="9" s="1"/>
  <c r="Q96" i="8"/>
  <c r="R29" i="9" s="1"/>
  <c r="G96" i="8"/>
  <c r="H29" i="9" s="1"/>
  <c r="N96" i="8"/>
  <c r="O29" i="9" s="1"/>
  <c r="E96" i="8"/>
  <c r="F29" i="9" s="1"/>
  <c r="X96" i="8"/>
  <c r="Y29" i="9" s="1"/>
  <c r="P96" i="8"/>
  <c r="Q29" i="9" s="1"/>
  <c r="H96" i="8"/>
  <c r="I29" i="9" s="1"/>
  <c r="V96" i="8"/>
  <c r="W29" i="9" s="1"/>
  <c r="M96" i="8"/>
  <c r="N29" i="9" s="1"/>
  <c r="B74" i="8"/>
  <c r="E78" i="8" s="1"/>
  <c r="F47" i="9" s="1"/>
  <c r="B83" i="8"/>
  <c r="L37" i="3"/>
  <c r="I79" i="4"/>
  <c r="I17" i="4"/>
  <c r="D27" i="9"/>
  <c r="D26" i="9"/>
  <c r="B65" i="8"/>
  <c r="C69" i="8" s="1"/>
  <c r="D46" i="9" s="1"/>
  <c r="J70" i="4"/>
  <c r="J71" i="4"/>
  <c r="K67" i="4" s="1"/>
  <c r="I110" i="2"/>
  <c r="J109" i="2" s="1"/>
  <c r="J110" i="2" s="1"/>
  <c r="K109" i="2" s="1"/>
  <c r="K110" i="2" s="1"/>
  <c r="L109" i="2" s="1"/>
  <c r="L110" i="2" s="1"/>
  <c r="M109" i="2" s="1"/>
  <c r="M110" i="2" s="1"/>
  <c r="N109" i="2" s="1"/>
  <c r="N110" i="2" s="1"/>
  <c r="O109" i="2" s="1"/>
  <c r="O110" i="2" s="1"/>
  <c r="P109" i="2" s="1"/>
  <c r="P110" i="2" s="1"/>
  <c r="Q109" i="2" s="1"/>
  <c r="Q110" i="2" s="1"/>
  <c r="R109" i="2" s="1"/>
  <c r="R110" i="2" s="1"/>
  <c r="S109" i="2" s="1"/>
  <c r="S110" i="2" s="1"/>
  <c r="T109" i="2" s="1"/>
  <c r="T110" i="2" s="1"/>
  <c r="U109" i="2" s="1"/>
  <c r="U110" i="2" s="1"/>
  <c r="V109" i="2" s="1"/>
  <c r="V110" i="2" s="1"/>
  <c r="W109" i="2" s="1"/>
  <c r="W110" i="2" s="1"/>
  <c r="X109" i="2" s="1"/>
  <c r="X110" i="2" s="1"/>
  <c r="Y109" i="2" s="1"/>
  <c r="Y110" i="2" s="1"/>
  <c r="Z109" i="2" s="1"/>
  <c r="Z110" i="2" s="1"/>
  <c r="AA109" i="2" s="1"/>
  <c r="AA110" i="2" s="1"/>
  <c r="K46" i="1"/>
  <c r="L47" i="1" l="1"/>
  <c r="C78" i="8"/>
  <c r="D47" i="9" s="1"/>
  <c r="D78" i="8"/>
  <c r="E47" i="9" s="1"/>
  <c r="D87" i="8"/>
  <c r="E48" i="9" s="1"/>
  <c r="C87" i="8"/>
  <c r="D48" i="9" s="1"/>
  <c r="E87" i="8"/>
  <c r="F48" i="9" s="1"/>
  <c r="M37" i="3"/>
  <c r="J79" i="4"/>
  <c r="J17" i="4"/>
  <c r="D69" i="8"/>
  <c r="E46" i="9" s="1"/>
  <c r="E69" i="8"/>
  <c r="F46" i="9" s="1"/>
  <c r="K69" i="4"/>
  <c r="K70" i="4"/>
  <c r="L46" i="1"/>
  <c r="E5" i="3"/>
  <c r="D155" i="1"/>
  <c r="M47" i="1" l="1"/>
  <c r="E20" i="3"/>
  <c r="E48" i="3" s="1"/>
  <c r="F20" i="3"/>
  <c r="F48" i="3" s="1"/>
  <c r="G20" i="3"/>
  <c r="G48" i="3" s="1"/>
  <c r="H20" i="3"/>
  <c r="H48" i="3" s="1"/>
  <c r="I20" i="3"/>
  <c r="I48" i="3" s="1"/>
  <c r="J20" i="3"/>
  <c r="J48" i="3" s="1"/>
  <c r="K20" i="3"/>
  <c r="K48" i="3" s="1"/>
  <c r="L20" i="3"/>
  <c r="L48" i="3" s="1"/>
  <c r="M20" i="3"/>
  <c r="M48" i="3" s="1"/>
  <c r="N20" i="3"/>
  <c r="N48" i="3" s="1"/>
  <c r="O20" i="3"/>
  <c r="O48" i="3" s="1"/>
  <c r="P20" i="3"/>
  <c r="P48" i="3" s="1"/>
  <c r="Q20" i="3"/>
  <c r="Q48" i="3" s="1"/>
  <c r="R20" i="3"/>
  <c r="R48" i="3" s="1"/>
  <c r="S20" i="3"/>
  <c r="S48" i="3" s="1"/>
  <c r="T20" i="3"/>
  <c r="T48" i="3" s="1"/>
  <c r="N37" i="3"/>
  <c r="U20" i="3"/>
  <c r="U48" i="3" s="1"/>
  <c r="K17" i="4"/>
  <c r="K79" i="4"/>
  <c r="K80" i="4"/>
  <c r="K16" i="4"/>
  <c r="E26" i="3"/>
  <c r="E9" i="3"/>
  <c r="E8" i="9" s="1"/>
  <c r="E8" i="3"/>
  <c r="E7" i="9" s="1"/>
  <c r="E7" i="3"/>
  <c r="K71" i="4"/>
  <c r="L67" i="4" s="1"/>
  <c r="M46" i="1"/>
  <c r="F5" i="3"/>
  <c r="G92" i="1"/>
  <c r="H92" i="1"/>
  <c r="I92" i="1"/>
  <c r="J92" i="1"/>
  <c r="F92" i="1"/>
  <c r="G69" i="1"/>
  <c r="H69" i="1"/>
  <c r="I69" i="1"/>
  <c r="J69" i="1"/>
  <c r="F69" i="1"/>
  <c r="D57" i="1"/>
  <c r="D95" i="1" l="1"/>
  <c r="N47" i="1"/>
  <c r="G59" i="1"/>
  <c r="E16" i="3"/>
  <c r="O37" i="3"/>
  <c r="V20" i="3"/>
  <c r="V48" i="3" s="1"/>
  <c r="E6" i="9"/>
  <c r="E58" i="9" s="1"/>
  <c r="F26" i="3"/>
  <c r="F9" i="3"/>
  <c r="F8" i="9" s="1"/>
  <c r="F7" i="3"/>
  <c r="F8" i="3"/>
  <c r="F7" i="9" s="1"/>
  <c r="L70" i="4"/>
  <c r="L69" i="4"/>
  <c r="N46" i="1"/>
  <c r="O47" i="1" s="1"/>
  <c r="H50" i="1"/>
  <c r="H59" i="1"/>
  <c r="J59" i="1"/>
  <c r="F59" i="1"/>
  <c r="G5" i="3"/>
  <c r="V19" i="1"/>
  <c r="V20" i="1"/>
  <c r="R19" i="1"/>
  <c r="R20" i="1"/>
  <c r="N19" i="1"/>
  <c r="N20" i="1"/>
  <c r="J19" i="1"/>
  <c r="J20" i="1"/>
  <c r="F50" i="1"/>
  <c r="G50" i="1"/>
  <c r="G96" i="1" s="1"/>
  <c r="Y19" i="1"/>
  <c r="Y20" i="1"/>
  <c r="U19" i="1"/>
  <c r="U20" i="1"/>
  <c r="Q19" i="1"/>
  <c r="Q20" i="1"/>
  <c r="M19" i="1"/>
  <c r="M20" i="1"/>
  <c r="I19" i="1"/>
  <c r="I20" i="1"/>
  <c r="J50" i="1"/>
  <c r="H19" i="1"/>
  <c r="H20" i="1"/>
  <c r="I50" i="1"/>
  <c r="I59" i="1"/>
  <c r="Z19" i="1"/>
  <c r="Z20" i="1"/>
  <c r="F20" i="1"/>
  <c r="F19" i="1"/>
  <c r="AB19" i="1"/>
  <c r="AB20" i="1"/>
  <c r="X19" i="1"/>
  <c r="X20" i="1"/>
  <c r="T19" i="1"/>
  <c r="T20" i="1"/>
  <c r="P19" i="1"/>
  <c r="P20" i="1"/>
  <c r="L19" i="1"/>
  <c r="L20" i="1"/>
  <c r="AA20" i="1"/>
  <c r="AA19" i="1"/>
  <c r="W20" i="1"/>
  <c r="W19" i="1"/>
  <c r="S20" i="1"/>
  <c r="S19" i="1"/>
  <c r="O20" i="1"/>
  <c r="O19" i="1"/>
  <c r="K20" i="1"/>
  <c r="K19" i="1"/>
  <c r="G20" i="1"/>
  <c r="G19" i="1"/>
  <c r="J96" i="1" l="1"/>
  <c r="H96" i="1"/>
  <c r="H99" i="1" s="1"/>
  <c r="I96" i="1"/>
  <c r="I99" i="1" s="1"/>
  <c r="F96" i="1"/>
  <c r="F99" i="1"/>
  <c r="J99" i="1"/>
  <c r="G99" i="1"/>
  <c r="G63" i="4"/>
  <c r="F6" i="9"/>
  <c r="F33" i="9" s="1"/>
  <c r="F39" i="9" s="1"/>
  <c r="F16" i="3"/>
  <c r="P37" i="3"/>
  <c r="W20" i="3"/>
  <c r="W48" i="3" s="1"/>
  <c r="O46" i="1"/>
  <c r="L16" i="4"/>
  <c r="L80" i="4"/>
  <c r="L79" i="4"/>
  <c r="L17" i="4"/>
  <c r="E5" i="9"/>
  <c r="E70" i="9" s="1"/>
  <c r="E33" i="9"/>
  <c r="G7" i="3"/>
  <c r="G8" i="3"/>
  <c r="G7" i="9" s="1"/>
  <c r="G9" i="3"/>
  <c r="G8" i="9" s="1"/>
  <c r="L71" i="4"/>
  <c r="M67" i="4" s="1"/>
  <c r="H5" i="3"/>
  <c r="K63" i="4"/>
  <c r="G26" i="3"/>
  <c r="F5" i="9" l="1"/>
  <c r="F70" i="9" s="1"/>
  <c r="P47" i="1"/>
  <c r="I63" i="4"/>
  <c r="I84" i="4" s="1"/>
  <c r="F58" i="9"/>
  <c r="H63" i="4"/>
  <c r="H84" i="4" s="1"/>
  <c r="J63" i="4"/>
  <c r="J84" i="4" s="1"/>
  <c r="F63" i="4"/>
  <c r="F84" i="4" s="1"/>
  <c r="P46" i="1"/>
  <c r="Q47" i="1" s="1"/>
  <c r="E39" i="9"/>
  <c r="G6" i="9"/>
  <c r="G5" i="9" s="1"/>
  <c r="G70" i="9" s="1"/>
  <c r="G16" i="3"/>
  <c r="Q37" i="3"/>
  <c r="X20" i="3"/>
  <c r="X48" i="3" s="1"/>
  <c r="J102" i="1"/>
  <c r="L84" i="4"/>
  <c r="H102" i="1"/>
  <c r="L65" i="4"/>
  <c r="G84" i="4"/>
  <c r="K84" i="4"/>
  <c r="H26" i="3"/>
  <c r="H8" i="3"/>
  <c r="H7" i="9" s="1"/>
  <c r="H9" i="3"/>
  <c r="H8" i="9" s="1"/>
  <c r="H7" i="3"/>
  <c r="F102" i="1"/>
  <c r="M69" i="4"/>
  <c r="M70" i="4"/>
  <c r="I5" i="3"/>
  <c r="K3" i="4"/>
  <c r="K76" i="4" s="1"/>
  <c r="I102" i="1"/>
  <c r="G102" i="1"/>
  <c r="G3" i="4" l="1"/>
  <c r="G76" i="4" s="1"/>
  <c r="G103" i="1"/>
  <c r="G3" i="5" s="1"/>
  <c r="I3" i="4"/>
  <c r="I76" i="4" s="1"/>
  <c r="I103" i="1"/>
  <c r="I3" i="5" s="1"/>
  <c r="H3" i="4"/>
  <c r="H76" i="4" s="1"/>
  <c r="H103" i="1"/>
  <c r="H3" i="5" s="1"/>
  <c r="J3" i="4"/>
  <c r="J76" i="4" s="1"/>
  <c r="J103" i="1"/>
  <c r="J3" i="5" s="1"/>
  <c r="F3" i="4"/>
  <c r="F76" i="4" s="1"/>
  <c r="F103" i="1"/>
  <c r="F3" i="5" s="1"/>
  <c r="Q46" i="1"/>
  <c r="R47" i="1" s="1"/>
  <c r="G58" i="9"/>
  <c r="H6" i="9"/>
  <c r="H5" i="9" s="1"/>
  <c r="H70" i="9" s="1"/>
  <c r="H16" i="3"/>
  <c r="G33" i="9"/>
  <c r="R37" i="3"/>
  <c r="Y20" i="3"/>
  <c r="Y48" i="3" s="1"/>
  <c r="M79" i="4"/>
  <c r="M17" i="4"/>
  <c r="M71" i="4"/>
  <c r="N67" i="4" s="1"/>
  <c r="N70" i="4" s="1"/>
  <c r="M16" i="4"/>
  <c r="M80" i="4"/>
  <c r="L83" i="4"/>
  <c r="L15" i="4"/>
  <c r="J5" i="3"/>
  <c r="J26" i="3" s="1"/>
  <c r="I9" i="3"/>
  <c r="I8" i="9" s="1"/>
  <c r="I8" i="3"/>
  <c r="I7" i="9" s="1"/>
  <c r="I7" i="3"/>
  <c r="I26" i="3"/>
  <c r="K3" i="5"/>
  <c r="R46" i="1" l="1"/>
  <c r="S47" i="1" s="1"/>
  <c r="F65" i="4"/>
  <c r="F15" i="4" s="1"/>
  <c r="H65" i="4"/>
  <c r="H15" i="4" s="1"/>
  <c r="J65" i="4"/>
  <c r="J83" i="4" s="1"/>
  <c r="H33" i="9"/>
  <c r="H39" i="9" s="1"/>
  <c r="H58" i="9"/>
  <c r="G39" i="9"/>
  <c r="I6" i="9"/>
  <c r="I5" i="9" s="1"/>
  <c r="I70" i="9" s="1"/>
  <c r="I16" i="3"/>
  <c r="S37" i="3"/>
  <c r="Z20" i="3"/>
  <c r="Z48" i="3" s="1"/>
  <c r="N69" i="4"/>
  <c r="N16" i="4" s="1"/>
  <c r="D3" i="5"/>
  <c r="N79" i="4"/>
  <c r="N17" i="4"/>
  <c r="K5" i="3"/>
  <c r="L5" i="3" s="1"/>
  <c r="L7" i="3" s="1"/>
  <c r="J9" i="3"/>
  <c r="J8" i="9" s="1"/>
  <c r="J8" i="3"/>
  <c r="J7" i="9" s="1"/>
  <c r="J7" i="3"/>
  <c r="I65" i="4"/>
  <c r="K65" i="4"/>
  <c r="G65" i="4"/>
  <c r="S46" i="1" l="1"/>
  <c r="J15" i="4"/>
  <c r="H83" i="4"/>
  <c r="F83" i="4"/>
  <c r="T47" i="1"/>
  <c r="I33" i="9"/>
  <c r="I39" i="9" s="1"/>
  <c r="I58" i="9"/>
  <c r="N80" i="4"/>
  <c r="N71" i="4"/>
  <c r="O67" i="4" s="1"/>
  <c r="O70" i="4" s="1"/>
  <c r="O79" i="4" s="1"/>
  <c r="L6" i="9"/>
  <c r="J6" i="9"/>
  <c r="J5" i="9" s="1"/>
  <c r="J70" i="9" s="1"/>
  <c r="J16" i="3"/>
  <c r="T37" i="3"/>
  <c r="AA20" i="3"/>
  <c r="AA48" i="3" s="1"/>
  <c r="G15" i="4"/>
  <c r="G83" i="4"/>
  <c r="K15" i="4"/>
  <c r="K83" i="4"/>
  <c r="M5" i="3"/>
  <c r="M9" i="3" s="1"/>
  <c r="M8" i="9" s="1"/>
  <c r="I15" i="4"/>
  <c r="I83" i="4"/>
  <c r="L8" i="3"/>
  <c r="L7" i="9" s="1"/>
  <c r="L26" i="3"/>
  <c r="K8" i="3"/>
  <c r="K7" i="9" s="1"/>
  <c r="K7" i="3"/>
  <c r="K26" i="3"/>
  <c r="L9" i="3"/>
  <c r="K9" i="3"/>
  <c r="K8" i="9" s="1"/>
  <c r="T46" i="1"/>
  <c r="O69" i="4" l="1"/>
  <c r="O80" i="4" s="1"/>
  <c r="U47" i="1"/>
  <c r="M7" i="3"/>
  <c r="M6" i="9" s="1"/>
  <c r="M8" i="3"/>
  <c r="M7" i="9" s="1"/>
  <c r="N5" i="3"/>
  <c r="N9" i="3" s="1"/>
  <c r="N8" i="9" s="1"/>
  <c r="J58" i="9"/>
  <c r="M26" i="3"/>
  <c r="J33" i="9"/>
  <c r="J39" i="9" s="1"/>
  <c r="K16" i="3"/>
  <c r="O17" i="4"/>
  <c r="L16" i="3"/>
  <c r="U37" i="3"/>
  <c r="L8" i="9"/>
  <c r="L58" i="9" s="1"/>
  <c r="K6" i="9"/>
  <c r="K58" i="9" s="1"/>
  <c r="U46" i="1"/>
  <c r="N26" i="3"/>
  <c r="O16" i="4" l="1"/>
  <c r="O71" i="4"/>
  <c r="P67" i="4" s="1"/>
  <c r="P70" i="4" s="1"/>
  <c r="P79" i="4" s="1"/>
  <c r="N8" i="3"/>
  <c r="N7" i="9" s="1"/>
  <c r="N7" i="3"/>
  <c r="N16" i="3" s="1"/>
  <c r="O5" i="3"/>
  <c r="O8" i="3" s="1"/>
  <c r="O7" i="9" s="1"/>
  <c r="V47" i="1"/>
  <c r="M16" i="3"/>
  <c r="M58" i="9"/>
  <c r="M33" i="9"/>
  <c r="M39" i="9" s="1"/>
  <c r="M5" i="9"/>
  <c r="M70" i="9" s="1"/>
  <c r="V37" i="3"/>
  <c r="K5" i="9"/>
  <c r="K33" i="9"/>
  <c r="L5" i="9"/>
  <c r="L33" i="9"/>
  <c r="L39" i="9" s="1"/>
  <c r="V46" i="1"/>
  <c r="P5" i="3" l="1"/>
  <c r="P9" i="3" s="1"/>
  <c r="P8" i="9" s="1"/>
  <c r="O26" i="3"/>
  <c r="O7" i="3"/>
  <c r="O6" i="9" s="1"/>
  <c r="N6" i="9"/>
  <c r="N33" i="9" s="1"/>
  <c r="N39" i="9" s="1"/>
  <c r="O9" i="3"/>
  <c r="O8" i="9" s="1"/>
  <c r="P69" i="4"/>
  <c r="P80" i="4" s="1"/>
  <c r="P17" i="4"/>
  <c r="W47" i="1"/>
  <c r="N58" i="9"/>
  <c r="K39" i="9"/>
  <c r="W37" i="3"/>
  <c r="L70" i="9"/>
  <c r="K70" i="9"/>
  <c r="W46" i="1"/>
  <c r="X47" i="1" s="1"/>
  <c r="P26" i="3" l="1"/>
  <c r="Q5" i="3"/>
  <c r="O33" i="9"/>
  <c r="O39" i="9" s="1"/>
  <c r="P8" i="3"/>
  <c r="P7" i="9" s="1"/>
  <c r="P7" i="3"/>
  <c r="P16" i="3" s="1"/>
  <c r="O16" i="3"/>
  <c r="N5" i="9"/>
  <c r="N70" i="9" s="1"/>
  <c r="P71" i="4"/>
  <c r="Q67" i="4" s="1"/>
  <c r="Q70" i="4" s="1"/>
  <c r="Q79" i="4" s="1"/>
  <c r="P16" i="4"/>
  <c r="O5" i="9"/>
  <c r="O70" i="9" s="1"/>
  <c r="O58" i="9"/>
  <c r="X37" i="3"/>
  <c r="P6" i="9"/>
  <c r="P58" i="9" s="1"/>
  <c r="Q9" i="3"/>
  <c r="Q8" i="9" s="1"/>
  <c r="Q8" i="3"/>
  <c r="Q7" i="9" s="1"/>
  <c r="Q7" i="3"/>
  <c r="X46" i="1"/>
  <c r="Y47" i="1" s="1"/>
  <c r="Q26" i="3"/>
  <c r="R5" i="3"/>
  <c r="Q69" i="4" l="1"/>
  <c r="Q80" i="4" s="1"/>
  <c r="Q17" i="4"/>
  <c r="Q6" i="9"/>
  <c r="Q58" i="9" s="1"/>
  <c r="Q16" i="3"/>
  <c r="Y37" i="3"/>
  <c r="P5" i="9"/>
  <c r="P70" i="9" s="1"/>
  <c r="P33" i="9"/>
  <c r="P39" i="9" s="1"/>
  <c r="R9" i="3"/>
  <c r="R8" i="9" s="1"/>
  <c r="R8" i="3"/>
  <c r="R7" i="9" s="1"/>
  <c r="R7" i="3"/>
  <c r="Y46" i="1"/>
  <c r="R26" i="3"/>
  <c r="S5" i="3"/>
  <c r="Q16" i="4" l="1"/>
  <c r="Q71" i="4"/>
  <c r="R67" i="4" s="1"/>
  <c r="R70" i="4" s="1"/>
  <c r="R79" i="4" s="1"/>
  <c r="R69" i="4"/>
  <c r="R16" i="4" s="1"/>
  <c r="Z47" i="1"/>
  <c r="Q33" i="9"/>
  <c r="Q39" i="9" s="1"/>
  <c r="Q5" i="9"/>
  <c r="Q70" i="9" s="1"/>
  <c r="R16" i="3"/>
  <c r="Z37" i="3"/>
  <c r="R17" i="4"/>
  <c r="R80" i="4"/>
  <c r="R6" i="9"/>
  <c r="R58" i="9" s="1"/>
  <c r="S7" i="3"/>
  <c r="S9" i="3"/>
  <c r="S8" i="9" s="1"/>
  <c r="S8" i="3"/>
  <c r="S7" i="9" s="1"/>
  <c r="Z46" i="1"/>
  <c r="S26" i="3"/>
  <c r="T5" i="3"/>
  <c r="R71" i="4" l="1"/>
  <c r="S67" i="4" s="1"/>
  <c r="S70" i="4" s="1"/>
  <c r="AA47" i="1"/>
  <c r="S6" i="9"/>
  <c r="S58" i="9" s="1"/>
  <c r="S16" i="3"/>
  <c r="AA37" i="3"/>
  <c r="S69" i="4"/>
  <c r="S16" i="4" s="1"/>
  <c r="S17" i="4"/>
  <c r="S79" i="4"/>
  <c r="R5" i="9"/>
  <c r="R70" i="9" s="1"/>
  <c r="R33" i="9"/>
  <c r="R39" i="9" s="1"/>
  <c r="T8" i="3"/>
  <c r="T7" i="9" s="1"/>
  <c r="T7" i="3"/>
  <c r="T9" i="3"/>
  <c r="T8" i="9" s="1"/>
  <c r="AA46" i="1"/>
  <c r="T26" i="3"/>
  <c r="U5" i="3"/>
  <c r="AB47" i="1" l="1"/>
  <c r="D48" i="1" s="1"/>
  <c r="S33" i="9"/>
  <c r="S39" i="9" s="1"/>
  <c r="S71" i="4"/>
  <c r="T67" i="4" s="1"/>
  <c r="T69" i="4" s="1"/>
  <c r="S80" i="4"/>
  <c r="T6" i="9"/>
  <c r="T5" i="9" s="1"/>
  <c r="T70" i="9" s="1"/>
  <c r="T16" i="3"/>
  <c r="S5" i="9"/>
  <c r="S70" i="9" s="1"/>
  <c r="U9" i="3"/>
  <c r="U8" i="9" s="1"/>
  <c r="U8" i="3"/>
  <c r="U7" i="9" s="1"/>
  <c r="U7" i="3"/>
  <c r="AB46" i="1"/>
  <c r="U26" i="3"/>
  <c r="V5" i="3"/>
  <c r="F50" i="3" l="1"/>
  <c r="R50" i="3"/>
  <c r="H49" i="3"/>
  <c r="J50" i="3"/>
  <c r="Y49" i="3"/>
  <c r="AA49" i="3"/>
  <c r="V27" i="3"/>
  <c r="W27" i="3"/>
  <c r="R27" i="3"/>
  <c r="M49" i="3"/>
  <c r="U27" i="3"/>
  <c r="V50" i="3"/>
  <c r="V49" i="3"/>
  <c r="Y50" i="3"/>
  <c r="I49" i="3"/>
  <c r="Q50" i="3"/>
  <c r="W50" i="3"/>
  <c r="E49" i="3"/>
  <c r="Y27" i="3"/>
  <c r="J27" i="3"/>
  <c r="AA27" i="3"/>
  <c r="P49" i="3"/>
  <c r="P27" i="3"/>
  <c r="W49" i="3"/>
  <c r="F49" i="3"/>
  <c r="G27" i="3"/>
  <c r="T49" i="3"/>
  <c r="H50" i="3"/>
  <c r="G50" i="3"/>
  <c r="X49" i="3"/>
  <c r="L50" i="3"/>
  <c r="Q49" i="3"/>
  <c r="Z27" i="3"/>
  <c r="K27" i="3"/>
  <c r="T27" i="3"/>
  <c r="S49" i="3"/>
  <c r="X27" i="3"/>
  <c r="Z50" i="3"/>
  <c r="O49" i="3"/>
  <c r="N49" i="3"/>
  <c r="G49" i="3"/>
  <c r="X50" i="3"/>
  <c r="O50" i="3"/>
  <c r="S27" i="3"/>
  <c r="L27" i="3"/>
  <c r="M27" i="3"/>
  <c r="P50" i="3"/>
  <c r="E50" i="3"/>
  <c r="M50" i="3"/>
  <c r="F27" i="3"/>
  <c r="J49" i="3"/>
  <c r="I50" i="3"/>
  <c r="N50" i="3"/>
  <c r="U50" i="3"/>
  <c r="S50" i="3"/>
  <c r="R49" i="3"/>
  <c r="E27" i="3"/>
  <c r="H27" i="3"/>
  <c r="I27" i="3"/>
  <c r="Z49" i="3"/>
  <c r="K49" i="3"/>
  <c r="L49" i="3"/>
  <c r="T50" i="3"/>
  <c r="AA50" i="3"/>
  <c r="K50" i="3"/>
  <c r="U49" i="3"/>
  <c r="N27" i="3"/>
  <c r="O27" i="3"/>
  <c r="Q27" i="3"/>
  <c r="Z75" i="9"/>
  <c r="S75" i="9"/>
  <c r="S77" i="9" s="1"/>
  <c r="G75" i="9"/>
  <c r="G77" i="9" s="1"/>
  <c r="E75" i="9"/>
  <c r="E77" i="9" s="1"/>
  <c r="I75" i="9"/>
  <c r="I77" i="9" s="1"/>
  <c r="X75" i="9"/>
  <c r="K75" i="9"/>
  <c r="K77" i="9" s="1"/>
  <c r="AA75" i="9"/>
  <c r="F77" i="9"/>
  <c r="J75" i="9"/>
  <c r="J77" i="9" s="1"/>
  <c r="AB75" i="9"/>
  <c r="L75" i="9"/>
  <c r="L77" i="9" s="1"/>
  <c r="M75" i="9"/>
  <c r="M77" i="9" s="1"/>
  <c r="N75" i="9"/>
  <c r="N77" i="9" s="1"/>
  <c r="W75" i="9"/>
  <c r="Y75" i="9"/>
  <c r="T75" i="9"/>
  <c r="U75" i="9"/>
  <c r="V75" i="9"/>
  <c r="H75" i="9"/>
  <c r="H77" i="9" s="1"/>
  <c r="P75" i="9"/>
  <c r="P77" i="9" s="1"/>
  <c r="R75" i="9"/>
  <c r="R77" i="9" s="1"/>
  <c r="Q75" i="9"/>
  <c r="Q77" i="9" s="1"/>
  <c r="O75" i="9"/>
  <c r="O77" i="9" s="1"/>
  <c r="E21" i="5"/>
  <c r="F21" i="5" s="1"/>
  <c r="G21" i="5" s="1"/>
  <c r="H21" i="5" s="1"/>
  <c r="I21" i="5" s="1"/>
  <c r="J21" i="5" s="1"/>
  <c r="K21" i="5" s="1"/>
  <c r="L21" i="5" s="1"/>
  <c r="M21" i="5" s="1"/>
  <c r="N21" i="5" s="1"/>
  <c r="E50" i="4"/>
  <c r="F50" i="4" s="1"/>
  <c r="G50" i="4" s="1"/>
  <c r="H50" i="4" s="1"/>
  <c r="I50" i="4" s="1"/>
  <c r="J50" i="4" s="1"/>
  <c r="K50" i="4" s="1"/>
  <c r="L50" i="4" s="1"/>
  <c r="M50" i="4" s="1"/>
  <c r="N50" i="4" s="1"/>
  <c r="T70" i="4"/>
  <c r="T79" i="4" s="1"/>
  <c r="T58" i="9"/>
  <c r="T33" i="9"/>
  <c r="T39" i="9" s="1"/>
  <c r="U6" i="9"/>
  <c r="U58" i="9" s="1"/>
  <c r="U16" i="3"/>
  <c r="Z58" i="3"/>
  <c r="Z6" i="4" s="1"/>
  <c r="Z20" i="4" s="1"/>
  <c r="Z85" i="4"/>
  <c r="T16" i="4"/>
  <c r="T80" i="4"/>
  <c r="U33" i="3"/>
  <c r="U34" i="3"/>
  <c r="U14" i="9" s="1"/>
  <c r="U35" i="3"/>
  <c r="U15" i="9" s="1"/>
  <c r="U29" i="3"/>
  <c r="U18" i="9" s="1"/>
  <c r="U30" i="3"/>
  <c r="U19" i="9" s="1"/>
  <c r="U31" i="3"/>
  <c r="U20" i="9" s="1"/>
  <c r="V9" i="3"/>
  <c r="V8" i="9" s="1"/>
  <c r="V7" i="3"/>
  <c r="V8" i="3"/>
  <c r="V7" i="9" s="1"/>
  <c r="T71" i="4"/>
  <c r="U67" i="4" s="1"/>
  <c r="V26" i="3"/>
  <c r="W5" i="3"/>
  <c r="O50" i="4" l="1"/>
  <c r="N56" i="4"/>
  <c r="O58" i="3"/>
  <c r="O6" i="4" s="1"/>
  <c r="O20" i="4" s="1"/>
  <c r="O85" i="4"/>
  <c r="P33" i="3"/>
  <c r="P35" i="3"/>
  <c r="P15" i="9" s="1"/>
  <c r="P34" i="3"/>
  <c r="P14" i="9" s="1"/>
  <c r="P29" i="3"/>
  <c r="P18" i="9" s="1"/>
  <c r="P31" i="3"/>
  <c r="P20" i="9" s="1"/>
  <c r="P30" i="3"/>
  <c r="P19" i="9" s="1"/>
  <c r="I85" i="4"/>
  <c r="I58" i="3"/>
  <c r="I6" i="4" s="1"/>
  <c r="I20" i="4" s="1"/>
  <c r="X85" i="4"/>
  <c r="X58" i="3"/>
  <c r="X6" i="4" s="1"/>
  <c r="X20" i="4" s="1"/>
  <c r="Q29" i="3"/>
  <c r="Q18" i="9" s="1"/>
  <c r="Q35" i="3"/>
  <c r="Q15" i="9" s="1"/>
  <c r="Q34" i="3"/>
  <c r="Q14" i="9" s="1"/>
  <c r="Q33" i="3"/>
  <c r="Q31" i="3"/>
  <c r="Q20" i="9" s="1"/>
  <c r="Q30" i="3"/>
  <c r="Q19" i="9" s="1"/>
  <c r="K85" i="4"/>
  <c r="K58" i="3"/>
  <c r="K6" i="4" s="1"/>
  <c r="K20" i="4" s="1"/>
  <c r="L29" i="3"/>
  <c r="L18" i="9" s="1"/>
  <c r="L35" i="3"/>
  <c r="L15" i="9" s="1"/>
  <c r="L34" i="3"/>
  <c r="L14" i="9" s="1"/>
  <c r="L33" i="3"/>
  <c r="L31" i="3"/>
  <c r="L20" i="9" s="1"/>
  <c r="L30" i="3"/>
  <c r="L19" i="9" s="1"/>
  <c r="V85" i="4"/>
  <c r="V58" i="3"/>
  <c r="V6" i="4" s="1"/>
  <c r="Y58" i="3"/>
  <c r="Y6" i="4" s="1"/>
  <c r="Y20" i="4" s="1"/>
  <c r="Y85" i="4"/>
  <c r="L85" i="4"/>
  <c r="L58" i="3"/>
  <c r="L6" i="4" s="1"/>
  <c r="L20" i="4" s="1"/>
  <c r="O31" i="3"/>
  <c r="O20" i="9" s="1"/>
  <c r="O30" i="3"/>
  <c r="O19" i="9" s="1"/>
  <c r="O33" i="3"/>
  <c r="O35" i="3"/>
  <c r="O15" i="9" s="1"/>
  <c r="O29" i="3"/>
  <c r="O18" i="9" s="1"/>
  <c r="O34" i="3"/>
  <c r="O14" i="9" s="1"/>
  <c r="S35" i="3"/>
  <c r="S15" i="9" s="1"/>
  <c r="S34" i="3"/>
  <c r="S14" i="9" s="1"/>
  <c r="S31" i="3"/>
  <c r="S20" i="9" s="1"/>
  <c r="S30" i="3"/>
  <c r="S19" i="9" s="1"/>
  <c r="S29" i="3"/>
  <c r="S18" i="9" s="1"/>
  <c r="S33" i="3"/>
  <c r="S58" i="3"/>
  <c r="S6" i="4" s="1"/>
  <c r="S20" i="4" s="1"/>
  <c r="S85" i="4"/>
  <c r="J29" i="3"/>
  <c r="J18" i="9" s="1"/>
  <c r="J33" i="3"/>
  <c r="J31" i="3"/>
  <c r="J20" i="9" s="1"/>
  <c r="J30" i="3"/>
  <c r="J19" i="9" s="1"/>
  <c r="J34" i="3"/>
  <c r="J14" i="9" s="1"/>
  <c r="J35" i="3"/>
  <c r="J15" i="9" s="1"/>
  <c r="N34" i="3"/>
  <c r="N14" i="9" s="1"/>
  <c r="N31" i="3"/>
  <c r="N20" i="9" s="1"/>
  <c r="N33" i="3"/>
  <c r="N30" i="3"/>
  <c r="N19" i="9" s="1"/>
  <c r="N29" i="3"/>
  <c r="N18" i="9" s="1"/>
  <c r="N35" i="3"/>
  <c r="N15" i="9" s="1"/>
  <c r="I35" i="3"/>
  <c r="I15" i="9" s="1"/>
  <c r="I34" i="3"/>
  <c r="I14" i="9" s="1"/>
  <c r="I31" i="3"/>
  <c r="I20" i="9" s="1"/>
  <c r="I33" i="3"/>
  <c r="I29" i="3"/>
  <c r="I18" i="9" s="1"/>
  <c r="I30" i="3"/>
  <c r="I19" i="9" s="1"/>
  <c r="J58" i="3"/>
  <c r="J6" i="4" s="1"/>
  <c r="J20" i="4" s="1"/>
  <c r="J85" i="4"/>
  <c r="T34" i="3"/>
  <c r="T14" i="9" s="1"/>
  <c r="T33" i="3"/>
  <c r="T35" i="3"/>
  <c r="T15" i="9" s="1"/>
  <c r="T30" i="3"/>
  <c r="T19" i="9" s="1"/>
  <c r="T31" i="3"/>
  <c r="T20" i="9" s="1"/>
  <c r="T29" i="3"/>
  <c r="T18" i="9" s="1"/>
  <c r="T85" i="4"/>
  <c r="T58" i="3"/>
  <c r="T6" i="4" s="1"/>
  <c r="T20" i="4" s="1"/>
  <c r="H58" i="3"/>
  <c r="H6" i="4" s="1"/>
  <c r="H20" i="4" s="1"/>
  <c r="H85" i="4"/>
  <c r="U58" i="3"/>
  <c r="U6" i="4" s="1"/>
  <c r="U20" i="4" s="1"/>
  <c r="U85" i="4"/>
  <c r="H29" i="3"/>
  <c r="H18" i="9" s="1"/>
  <c r="H33" i="3"/>
  <c r="H31" i="3"/>
  <c r="H20" i="9" s="1"/>
  <c r="H34" i="3"/>
  <c r="H14" i="9" s="1"/>
  <c r="H35" i="3"/>
  <c r="H15" i="9" s="1"/>
  <c r="H30" i="3"/>
  <c r="H19" i="9" s="1"/>
  <c r="F35" i="3"/>
  <c r="F15" i="9" s="1"/>
  <c r="F34" i="3"/>
  <c r="F14" i="9" s="1"/>
  <c r="F31" i="3"/>
  <c r="F20" i="9" s="1"/>
  <c r="F30" i="3"/>
  <c r="F19" i="9" s="1"/>
  <c r="F29" i="3"/>
  <c r="F18" i="9" s="1"/>
  <c r="F33" i="3"/>
  <c r="K30" i="3"/>
  <c r="K19" i="9" s="1"/>
  <c r="K29" i="3"/>
  <c r="K18" i="9" s="1"/>
  <c r="K31" i="3"/>
  <c r="K20" i="9" s="1"/>
  <c r="K34" i="3"/>
  <c r="K14" i="9" s="1"/>
  <c r="K33" i="3"/>
  <c r="K35" i="3"/>
  <c r="K15" i="9" s="1"/>
  <c r="G33" i="3"/>
  <c r="G34" i="3"/>
  <c r="G14" i="9" s="1"/>
  <c r="G29" i="3"/>
  <c r="G18" i="9" s="1"/>
  <c r="G35" i="3"/>
  <c r="G15" i="9" s="1"/>
  <c r="G30" i="3"/>
  <c r="G19" i="9" s="1"/>
  <c r="G31" i="3"/>
  <c r="G20" i="9" s="1"/>
  <c r="E85" i="4"/>
  <c r="E58" i="3"/>
  <c r="E6" i="4" s="1"/>
  <c r="E20" i="4" s="1"/>
  <c r="M58" i="3"/>
  <c r="M6" i="4" s="1"/>
  <c r="M20" i="4" s="1"/>
  <c r="M85" i="4"/>
  <c r="P58" i="3"/>
  <c r="P6" i="4" s="1"/>
  <c r="P20" i="4" s="1"/>
  <c r="P85" i="4"/>
  <c r="E29" i="3"/>
  <c r="E18" i="9" s="1"/>
  <c r="E31" i="3"/>
  <c r="E20" i="9" s="1"/>
  <c r="E30" i="3"/>
  <c r="E19" i="9" s="1"/>
  <c r="E34" i="3"/>
  <c r="E14" i="9" s="1"/>
  <c r="E35" i="3"/>
  <c r="E15" i="9" s="1"/>
  <c r="E33" i="3"/>
  <c r="G58" i="3"/>
  <c r="G6" i="4" s="1"/>
  <c r="G20" i="4" s="1"/>
  <c r="G85" i="4"/>
  <c r="F85" i="4"/>
  <c r="F58" i="3"/>
  <c r="F6" i="4" s="1"/>
  <c r="F20" i="4" s="1"/>
  <c r="R31" i="3"/>
  <c r="R20" i="9" s="1"/>
  <c r="R29" i="3"/>
  <c r="R18" i="9" s="1"/>
  <c r="R30" i="3"/>
  <c r="R19" i="9" s="1"/>
  <c r="R33" i="3"/>
  <c r="R35" i="3"/>
  <c r="R15" i="9" s="1"/>
  <c r="R34" i="3"/>
  <c r="R14" i="9" s="1"/>
  <c r="O21" i="5"/>
  <c r="N27" i="5"/>
  <c r="M34" i="3"/>
  <c r="M14" i="9" s="1"/>
  <c r="M31" i="3"/>
  <c r="M20" i="9" s="1"/>
  <c r="M30" i="3"/>
  <c r="M19" i="9" s="1"/>
  <c r="M33" i="3"/>
  <c r="M35" i="3"/>
  <c r="M15" i="9" s="1"/>
  <c r="M29" i="3"/>
  <c r="M18" i="9" s="1"/>
  <c r="R58" i="3"/>
  <c r="R6" i="4" s="1"/>
  <c r="R20" i="4" s="1"/>
  <c r="R85" i="4"/>
  <c r="N58" i="3"/>
  <c r="N6" i="4" s="1"/>
  <c r="N20" i="4" s="1"/>
  <c r="N85" i="4"/>
  <c r="Q58" i="3"/>
  <c r="Q6" i="4" s="1"/>
  <c r="Q20" i="4" s="1"/>
  <c r="Q85" i="4"/>
  <c r="W58" i="3"/>
  <c r="W6" i="4" s="1"/>
  <c r="W20" i="4" s="1"/>
  <c r="W85" i="4"/>
  <c r="T17" i="4"/>
  <c r="T77" i="9"/>
  <c r="U33" i="9"/>
  <c r="U39" i="9" s="1"/>
  <c r="U77" i="9" s="1"/>
  <c r="U5" i="9"/>
  <c r="U70" i="9" s="1"/>
  <c r="V6" i="9"/>
  <c r="V5" i="9" s="1"/>
  <c r="V70" i="9" s="1"/>
  <c r="V16" i="3"/>
  <c r="U13" i="9"/>
  <c r="U34" i="9" s="1"/>
  <c r="U40" i="3"/>
  <c r="U78" i="4" s="1"/>
  <c r="AA85" i="4"/>
  <c r="AA58" i="3"/>
  <c r="AA6" i="4" s="1"/>
  <c r="AA20" i="4" s="1"/>
  <c r="U61" i="9"/>
  <c r="U17" i="9"/>
  <c r="V33" i="3"/>
  <c r="V35" i="3"/>
  <c r="V15" i="9" s="1"/>
  <c r="V34" i="3"/>
  <c r="V14" i="9" s="1"/>
  <c r="V29" i="3"/>
  <c r="V18" i="9" s="1"/>
  <c r="V30" i="3"/>
  <c r="V19" i="9" s="1"/>
  <c r="V31" i="3"/>
  <c r="V20" i="9" s="1"/>
  <c r="W7" i="3"/>
  <c r="W8" i="3"/>
  <c r="W7" i="9" s="1"/>
  <c r="W9" i="3"/>
  <c r="W8" i="9" s="1"/>
  <c r="U70" i="4"/>
  <c r="U69" i="4"/>
  <c r="W26" i="3"/>
  <c r="X5" i="3"/>
  <c r="K13" i="9" l="1"/>
  <c r="K40" i="3"/>
  <c r="H17" i="9"/>
  <c r="H61" i="9"/>
  <c r="I17" i="9"/>
  <c r="I61" i="9"/>
  <c r="N13" i="9"/>
  <c r="N40" i="3"/>
  <c r="P50" i="4"/>
  <c r="O56" i="4"/>
  <c r="I40" i="3"/>
  <c r="I13" i="9"/>
  <c r="P61" i="9"/>
  <c r="P17" i="9"/>
  <c r="S13" i="9"/>
  <c r="S40" i="3"/>
  <c r="L17" i="9"/>
  <c r="L61" i="9"/>
  <c r="P21" i="5"/>
  <c r="O27" i="5"/>
  <c r="M17" i="9"/>
  <c r="M61" i="9"/>
  <c r="S61" i="9"/>
  <c r="S17" i="9"/>
  <c r="O13" i="9"/>
  <c r="O40" i="3"/>
  <c r="P13" i="9"/>
  <c r="P40" i="3"/>
  <c r="M13" i="9"/>
  <c r="M40" i="3"/>
  <c r="R13" i="9"/>
  <c r="R40" i="3"/>
  <c r="E40" i="3"/>
  <c r="E13" i="9"/>
  <c r="F40" i="3"/>
  <c r="F13" i="9"/>
  <c r="T13" i="9"/>
  <c r="T40" i="3"/>
  <c r="G13" i="9"/>
  <c r="G40" i="3"/>
  <c r="F61" i="9"/>
  <c r="F17" i="9"/>
  <c r="N61" i="9"/>
  <c r="N17" i="9"/>
  <c r="E61" i="9"/>
  <c r="E17" i="9"/>
  <c r="O61" i="9"/>
  <c r="O17" i="9"/>
  <c r="Q61" i="9"/>
  <c r="Q17" i="9"/>
  <c r="K61" i="9"/>
  <c r="K17" i="9"/>
  <c r="V20" i="4"/>
  <c r="D52" i="4"/>
  <c r="G61" i="9"/>
  <c r="G17" i="9"/>
  <c r="R61" i="9"/>
  <c r="R17" i="9"/>
  <c r="H13" i="9"/>
  <c r="H40" i="3"/>
  <c r="T61" i="9"/>
  <c r="T17" i="9"/>
  <c r="J13" i="9"/>
  <c r="J40" i="3"/>
  <c r="L13" i="9"/>
  <c r="L40" i="3"/>
  <c r="Q13" i="9"/>
  <c r="Q40" i="3"/>
  <c r="J61" i="9"/>
  <c r="J17" i="9"/>
  <c r="V33" i="9"/>
  <c r="V39" i="9" s="1"/>
  <c r="V58" i="9"/>
  <c r="U12" i="9"/>
  <c r="U71" i="9" s="1"/>
  <c r="U72" i="9" s="1"/>
  <c r="U9" i="5" s="1"/>
  <c r="U60" i="9"/>
  <c r="U59" i="9" s="1"/>
  <c r="W6" i="9"/>
  <c r="W58" i="9" s="1"/>
  <c r="W16" i="3"/>
  <c r="V13" i="9"/>
  <c r="V40" i="3"/>
  <c r="V78" i="4" s="1"/>
  <c r="U35" i="9"/>
  <c r="U40" i="9"/>
  <c r="AB6" i="4"/>
  <c r="AB20" i="4" s="1"/>
  <c r="AB85" i="4"/>
  <c r="U16" i="4"/>
  <c r="U80" i="4"/>
  <c r="U79" i="4"/>
  <c r="U17" i="4"/>
  <c r="V61" i="9"/>
  <c r="V17" i="9"/>
  <c r="W34" i="3"/>
  <c r="W14" i="9" s="1"/>
  <c r="W33" i="3"/>
  <c r="W35" i="3"/>
  <c r="W15" i="9" s="1"/>
  <c r="W29" i="3"/>
  <c r="W18" i="9" s="1"/>
  <c r="W31" i="3"/>
  <c r="W20" i="9" s="1"/>
  <c r="W30" i="3"/>
  <c r="W19" i="9" s="1"/>
  <c r="X8" i="3"/>
  <c r="X7" i="9" s="1"/>
  <c r="X7" i="3"/>
  <c r="X9" i="3"/>
  <c r="X8" i="9" s="1"/>
  <c r="U71" i="4"/>
  <c r="V67" i="4" s="1"/>
  <c r="U56" i="3"/>
  <c r="X26" i="3"/>
  <c r="Y5" i="3"/>
  <c r="E78" i="4" l="1"/>
  <c r="E56" i="3"/>
  <c r="O60" i="9"/>
  <c r="O59" i="9" s="1"/>
  <c r="O62" i="9" s="1"/>
  <c r="O8" i="5" s="1"/>
  <c r="O34" i="9"/>
  <c r="O12" i="9"/>
  <c r="O71" i="9" s="1"/>
  <c r="O72" i="9" s="1"/>
  <c r="O9" i="5" s="1"/>
  <c r="Q50" i="4"/>
  <c r="P56" i="4"/>
  <c r="K34" i="9"/>
  <c r="K12" i="9"/>
  <c r="K71" i="9" s="1"/>
  <c r="K72" i="9" s="1"/>
  <c r="K9" i="5" s="1"/>
  <c r="K60" i="9"/>
  <c r="K59" i="9" s="1"/>
  <c r="J78" i="4"/>
  <c r="J56" i="3"/>
  <c r="G78" i="4"/>
  <c r="G56" i="3"/>
  <c r="R78" i="4"/>
  <c r="R56" i="3"/>
  <c r="S78" i="4"/>
  <c r="S56" i="3"/>
  <c r="N78" i="4"/>
  <c r="N56" i="3"/>
  <c r="J60" i="9"/>
  <c r="J59" i="9" s="1"/>
  <c r="J34" i="9"/>
  <c r="J12" i="9"/>
  <c r="J71" i="9" s="1"/>
  <c r="J72" i="9" s="1"/>
  <c r="J9" i="5" s="1"/>
  <c r="S34" i="9"/>
  <c r="S60" i="9"/>
  <c r="S59" i="9" s="1"/>
  <c r="S12" i="9"/>
  <c r="S71" i="9" s="1"/>
  <c r="S72" i="9" s="1"/>
  <c r="S9" i="5" s="1"/>
  <c r="N12" i="9"/>
  <c r="N71" i="9" s="1"/>
  <c r="N72" i="9" s="1"/>
  <c r="N9" i="5" s="1"/>
  <c r="N60" i="9"/>
  <c r="N59" i="9" s="1"/>
  <c r="N62" i="9" s="1"/>
  <c r="N8" i="5" s="1"/>
  <c r="N34" i="9"/>
  <c r="T78" i="4"/>
  <c r="T56" i="3"/>
  <c r="M78" i="4"/>
  <c r="M56" i="3"/>
  <c r="R12" i="9"/>
  <c r="R71" i="9" s="1"/>
  <c r="R72" i="9" s="1"/>
  <c r="R9" i="5" s="1"/>
  <c r="R60" i="9"/>
  <c r="R59" i="9" s="1"/>
  <c r="R62" i="9" s="1"/>
  <c r="R8" i="5" s="1"/>
  <c r="R34" i="9"/>
  <c r="H78" i="4"/>
  <c r="H56" i="3"/>
  <c r="F34" i="9"/>
  <c r="F12" i="9"/>
  <c r="F71" i="9" s="1"/>
  <c r="F72" i="9" s="1"/>
  <c r="F9" i="5" s="1"/>
  <c r="F60" i="9"/>
  <c r="F59" i="9" s="1"/>
  <c r="P78" i="4"/>
  <c r="P56" i="3"/>
  <c r="I34" i="9"/>
  <c r="I60" i="9"/>
  <c r="I59" i="9" s="1"/>
  <c r="I62" i="9" s="1"/>
  <c r="I8" i="5" s="1"/>
  <c r="I12" i="9"/>
  <c r="I71" i="9" s="1"/>
  <c r="I72" i="9" s="1"/>
  <c r="I9" i="5" s="1"/>
  <c r="G34" i="9"/>
  <c r="G60" i="9"/>
  <c r="G59" i="9" s="1"/>
  <c r="G12" i="9"/>
  <c r="G71" i="9" s="1"/>
  <c r="G72" i="9" s="1"/>
  <c r="G9" i="5" s="1"/>
  <c r="Q60" i="9"/>
  <c r="Q59" i="9" s="1"/>
  <c r="Q62" i="9" s="1"/>
  <c r="Q8" i="5" s="1"/>
  <c r="Q12" i="9"/>
  <c r="Q71" i="9" s="1"/>
  <c r="Q72" i="9" s="1"/>
  <c r="Q9" i="5" s="1"/>
  <c r="Q34" i="9"/>
  <c r="H60" i="9"/>
  <c r="H59" i="9" s="1"/>
  <c r="H62" i="9" s="1"/>
  <c r="H8" i="5" s="1"/>
  <c r="H34" i="9"/>
  <c r="H12" i="9"/>
  <c r="H71" i="9" s="1"/>
  <c r="H72" i="9" s="1"/>
  <c r="H9" i="5" s="1"/>
  <c r="F78" i="4"/>
  <c r="F56" i="3"/>
  <c r="P34" i="9"/>
  <c r="P12" i="9"/>
  <c r="P71" i="9" s="1"/>
  <c r="P72" i="9" s="1"/>
  <c r="P9" i="5" s="1"/>
  <c r="P60" i="9"/>
  <c r="P59" i="9" s="1"/>
  <c r="Q21" i="5"/>
  <c r="P27" i="5"/>
  <c r="I78" i="4"/>
  <c r="I56" i="3"/>
  <c r="L34" i="9"/>
  <c r="L60" i="9"/>
  <c r="L59" i="9" s="1"/>
  <c r="L12" i="9"/>
  <c r="L71" i="9" s="1"/>
  <c r="L72" i="9" s="1"/>
  <c r="L9" i="5" s="1"/>
  <c r="T12" i="9"/>
  <c r="T71" i="9" s="1"/>
  <c r="T72" i="9" s="1"/>
  <c r="T9" i="5" s="1"/>
  <c r="T34" i="9"/>
  <c r="T60" i="9"/>
  <c r="T59" i="9" s="1"/>
  <c r="M60" i="9"/>
  <c r="M59" i="9" s="1"/>
  <c r="M34" i="9"/>
  <c r="M12" i="9"/>
  <c r="M71" i="9" s="1"/>
  <c r="M72" i="9" s="1"/>
  <c r="M9" i="5" s="1"/>
  <c r="Q78" i="4"/>
  <c r="Q56" i="3"/>
  <c r="L78" i="4"/>
  <c r="L56" i="3"/>
  <c r="E34" i="9"/>
  <c r="E60" i="9"/>
  <c r="E59" i="9" s="1"/>
  <c r="E12" i="9"/>
  <c r="E71" i="9" s="1"/>
  <c r="E72" i="9" s="1"/>
  <c r="E9" i="5" s="1"/>
  <c r="O78" i="4"/>
  <c r="O56" i="3"/>
  <c r="K78" i="4"/>
  <c r="K56" i="3"/>
  <c r="V60" i="9"/>
  <c r="V59" i="9" s="1"/>
  <c r="V34" i="9"/>
  <c r="V40" i="9" s="1"/>
  <c r="V77" i="9"/>
  <c r="W33" i="9"/>
  <c r="W39" i="9" s="1"/>
  <c r="W77" i="9" s="1"/>
  <c r="W5" i="9"/>
  <c r="W70" i="9" s="1"/>
  <c r="X6" i="9"/>
  <c r="X33" i="9" s="1"/>
  <c r="X39" i="9" s="1"/>
  <c r="X16" i="3"/>
  <c r="U78" i="9"/>
  <c r="V12" i="9"/>
  <c r="V71" i="9" s="1"/>
  <c r="V72" i="9" s="1"/>
  <c r="V9" i="5" s="1"/>
  <c r="W13" i="9"/>
  <c r="W60" i="9" s="1"/>
  <c r="W40" i="3"/>
  <c r="W78" i="4" s="1"/>
  <c r="U41" i="9"/>
  <c r="U7" i="5" s="1"/>
  <c r="U62" i="9"/>
  <c r="U8" i="5" s="1"/>
  <c r="U5" i="5"/>
  <c r="U5" i="4"/>
  <c r="W61" i="9"/>
  <c r="W17" i="9"/>
  <c r="X34" i="3"/>
  <c r="X14" i="9" s="1"/>
  <c r="X33" i="3"/>
  <c r="X35" i="3"/>
  <c r="X15" i="9" s="1"/>
  <c r="X30" i="3"/>
  <c r="X19" i="9" s="1"/>
  <c r="X29" i="3"/>
  <c r="X18" i="9" s="1"/>
  <c r="X31" i="3"/>
  <c r="X20" i="9" s="1"/>
  <c r="Y9" i="3"/>
  <c r="Y8" i="9" s="1"/>
  <c r="Y8" i="3"/>
  <c r="Y7" i="9" s="1"/>
  <c r="Y7" i="3"/>
  <c r="V69" i="4"/>
  <c r="V70" i="4"/>
  <c r="V56" i="3"/>
  <c r="Y26" i="3"/>
  <c r="Z5" i="3"/>
  <c r="F40" i="9" l="1"/>
  <c r="F78" i="9" s="1"/>
  <c r="F35" i="9"/>
  <c r="F41" i="9" s="1"/>
  <c r="F7" i="5" s="1"/>
  <c r="T5" i="5"/>
  <c r="T5" i="4"/>
  <c r="T19" i="4" s="1"/>
  <c r="T62" i="9"/>
  <c r="T8" i="5" s="1"/>
  <c r="M40" i="9"/>
  <c r="M78" i="9" s="1"/>
  <c r="M35" i="9"/>
  <c r="M41" i="9" s="1"/>
  <c r="M7" i="5" s="1"/>
  <c r="I5" i="4"/>
  <c r="I19" i="4" s="1"/>
  <c r="I5" i="5"/>
  <c r="G62" i="9"/>
  <c r="G8" i="5" s="1"/>
  <c r="S35" i="9"/>
  <c r="S41" i="9" s="1"/>
  <c r="S7" i="5" s="1"/>
  <c r="S40" i="9"/>
  <c r="S78" i="9" s="1"/>
  <c r="R5" i="5"/>
  <c r="R5" i="4"/>
  <c r="R19" i="4" s="1"/>
  <c r="K40" i="9"/>
  <c r="K78" i="9" s="1"/>
  <c r="K35" i="9"/>
  <c r="K41" i="9" s="1"/>
  <c r="K7" i="5" s="1"/>
  <c r="N35" i="9"/>
  <c r="N41" i="9" s="1"/>
  <c r="N7" i="5" s="1"/>
  <c r="N40" i="9"/>
  <c r="N78" i="9" s="1"/>
  <c r="J62" i="9"/>
  <c r="J8" i="5" s="1"/>
  <c r="E62" i="9"/>
  <c r="E8" i="5" s="1"/>
  <c r="R50" i="4"/>
  <c r="Q56" i="4"/>
  <c r="T40" i="9"/>
  <c r="T78" i="9" s="1"/>
  <c r="T35" i="9"/>
  <c r="T41" i="9" s="1"/>
  <c r="T7" i="5" s="1"/>
  <c r="P62" i="9"/>
  <c r="P8" i="5" s="1"/>
  <c r="Q35" i="9"/>
  <c r="Q41" i="9" s="1"/>
  <c r="Q7" i="5" s="1"/>
  <c r="Q40" i="9"/>
  <c r="Q78" i="9" s="1"/>
  <c r="I35" i="9"/>
  <c r="I41" i="9" s="1"/>
  <c r="I7" i="5" s="1"/>
  <c r="I40" i="9"/>
  <c r="I78" i="9" s="1"/>
  <c r="R35" i="9"/>
  <c r="R41" i="9" s="1"/>
  <c r="R7" i="5" s="1"/>
  <c r="R40" i="9"/>
  <c r="R78" i="9" s="1"/>
  <c r="N5" i="4"/>
  <c r="N19" i="4" s="1"/>
  <c r="N5" i="5"/>
  <c r="J5" i="4"/>
  <c r="J19" i="4" s="1"/>
  <c r="J5" i="5"/>
  <c r="O35" i="9"/>
  <c r="O41" i="9" s="1"/>
  <c r="O7" i="5" s="1"/>
  <c r="O40" i="9"/>
  <c r="O78" i="9" s="1"/>
  <c r="H35" i="9"/>
  <c r="H41" i="9" s="1"/>
  <c r="H7" i="5" s="1"/>
  <c r="H40" i="9"/>
  <c r="H78" i="9" s="1"/>
  <c r="P5" i="5"/>
  <c r="P5" i="4"/>
  <c r="P19" i="4" s="1"/>
  <c r="G35" i="9"/>
  <c r="G41" i="9" s="1"/>
  <c r="G7" i="5" s="1"/>
  <c r="G40" i="9"/>
  <c r="G78" i="9" s="1"/>
  <c r="E40" i="9"/>
  <c r="E78" i="9" s="1"/>
  <c r="E35" i="9"/>
  <c r="E41" i="9" s="1"/>
  <c r="E7" i="5" s="1"/>
  <c r="J40" i="9"/>
  <c r="J78" i="9" s="1"/>
  <c r="J35" i="9"/>
  <c r="J41" i="9" s="1"/>
  <c r="J7" i="5" s="1"/>
  <c r="L5" i="4"/>
  <c r="L19" i="4" s="1"/>
  <c r="L5" i="5"/>
  <c r="K5" i="4"/>
  <c r="K19" i="4" s="1"/>
  <c r="K5" i="5"/>
  <c r="Q5" i="5"/>
  <c r="Q5" i="4"/>
  <c r="Q19" i="4" s="1"/>
  <c r="L62" i="9"/>
  <c r="L8" i="5" s="1"/>
  <c r="P40" i="9"/>
  <c r="P78" i="9" s="1"/>
  <c r="P35" i="9"/>
  <c r="P41" i="9" s="1"/>
  <c r="P7" i="5" s="1"/>
  <c r="S5" i="5"/>
  <c r="S5" i="4"/>
  <c r="S19" i="4" s="1"/>
  <c r="K62" i="9"/>
  <c r="K8" i="5" s="1"/>
  <c r="E5" i="5"/>
  <c r="E5" i="4"/>
  <c r="E19" i="4" s="1"/>
  <c r="M62" i="9"/>
  <c r="M8" i="5" s="1"/>
  <c r="H5" i="5"/>
  <c r="H5" i="4"/>
  <c r="H19" i="4" s="1"/>
  <c r="G5" i="5"/>
  <c r="G5" i="4"/>
  <c r="G19" i="4" s="1"/>
  <c r="R21" i="5"/>
  <c r="Q27" i="5"/>
  <c r="O5" i="4"/>
  <c r="O19" i="4" s="1"/>
  <c r="O5" i="5"/>
  <c r="L40" i="9"/>
  <c r="L78" i="9" s="1"/>
  <c r="L35" i="9"/>
  <c r="L41" i="9" s="1"/>
  <c r="L7" i="5" s="1"/>
  <c r="F5" i="5"/>
  <c r="F5" i="4"/>
  <c r="F19" i="4" s="1"/>
  <c r="F62" i="9"/>
  <c r="F8" i="5" s="1"/>
  <c r="M5" i="5"/>
  <c r="M5" i="4"/>
  <c r="M19" i="4" s="1"/>
  <c r="S62" i="9"/>
  <c r="S8" i="5" s="1"/>
  <c r="X5" i="9"/>
  <c r="X70" i="9" s="1"/>
  <c r="X58" i="9"/>
  <c r="X77" i="9" s="1"/>
  <c r="W12" i="9"/>
  <c r="W71" i="9" s="1"/>
  <c r="W72" i="9" s="1"/>
  <c r="W9" i="5" s="1"/>
  <c r="W34" i="9"/>
  <c r="W40" i="9" s="1"/>
  <c r="V78" i="9"/>
  <c r="V35" i="9"/>
  <c r="V41" i="9" s="1"/>
  <c r="V7" i="5" s="1"/>
  <c r="Y16" i="3"/>
  <c r="X13" i="9"/>
  <c r="X34" i="9" s="1"/>
  <c r="X40" i="3"/>
  <c r="X78" i="4" s="1"/>
  <c r="V62" i="9"/>
  <c r="V8" i="5" s="1"/>
  <c r="U19" i="4"/>
  <c r="W59" i="9"/>
  <c r="V79" i="4"/>
  <c r="V17" i="4"/>
  <c r="V5" i="5"/>
  <c r="V5" i="4"/>
  <c r="V71" i="4"/>
  <c r="W67" i="4" s="1"/>
  <c r="W70" i="4" s="1"/>
  <c r="V80" i="4"/>
  <c r="V16" i="4"/>
  <c r="X61" i="9"/>
  <c r="X17" i="9"/>
  <c r="Y6" i="9"/>
  <c r="Y58" i="9" s="1"/>
  <c r="Y35" i="3"/>
  <c r="Y15" i="9" s="1"/>
  <c r="Y34" i="3"/>
  <c r="Y14" i="9" s="1"/>
  <c r="Y33" i="3"/>
  <c r="Y29" i="3"/>
  <c r="Y18" i="9" s="1"/>
  <c r="Y31" i="3"/>
  <c r="Y20" i="9" s="1"/>
  <c r="Y30" i="3"/>
  <c r="Y19" i="9" s="1"/>
  <c r="Z7" i="3"/>
  <c r="Z9" i="3"/>
  <c r="Z8" i="9" s="1"/>
  <c r="Z8" i="3"/>
  <c r="Z7" i="9" s="1"/>
  <c r="W56" i="3"/>
  <c r="W5" i="4" s="1"/>
  <c r="Z26" i="3"/>
  <c r="AA5" i="3"/>
  <c r="S21" i="5" l="1"/>
  <c r="R27" i="5"/>
  <c r="S50" i="4"/>
  <c r="R56" i="4"/>
  <c r="V19" i="4"/>
  <c r="X12" i="9"/>
  <c r="X71" i="9" s="1"/>
  <c r="X72" i="9" s="1"/>
  <c r="X9" i="5" s="1"/>
  <c r="W69" i="4"/>
  <c r="W71" i="4" s="1"/>
  <c r="X67" i="4" s="1"/>
  <c r="W35" i="9"/>
  <c r="W41" i="9" s="1"/>
  <c r="W7" i="5" s="1"/>
  <c r="Y13" i="9"/>
  <c r="Y40" i="3"/>
  <c r="Y78" i="4" s="1"/>
  <c r="X60" i="9"/>
  <c r="X59" i="9" s="1"/>
  <c r="W78" i="9"/>
  <c r="Z6" i="9"/>
  <c r="Z58" i="9" s="1"/>
  <c r="Z16" i="3"/>
  <c r="X35" i="9"/>
  <c r="X40" i="9"/>
  <c r="W62" i="9"/>
  <c r="W8" i="5" s="1"/>
  <c r="W5" i="5"/>
  <c r="W19" i="4"/>
  <c r="W79" i="4"/>
  <c r="W17" i="4"/>
  <c r="Y61" i="9"/>
  <c r="Y17" i="9"/>
  <c r="Y5" i="9"/>
  <c r="Y70" i="9" s="1"/>
  <c r="Y33" i="9"/>
  <c r="Y39" i="9" s="1"/>
  <c r="Y77" i="9" s="1"/>
  <c r="Z33" i="3"/>
  <c r="Z35" i="3"/>
  <c r="Z15" i="9" s="1"/>
  <c r="Z34" i="3"/>
  <c r="Z14" i="9" s="1"/>
  <c r="Z29" i="3"/>
  <c r="Z18" i="9" s="1"/>
  <c r="Z30" i="3"/>
  <c r="Z19" i="9" s="1"/>
  <c r="Z31" i="3"/>
  <c r="Z20" i="9" s="1"/>
  <c r="AA7" i="3"/>
  <c r="AA8" i="3"/>
  <c r="AA7" i="9" s="1"/>
  <c r="AA9" i="3"/>
  <c r="AA8" i="9" s="1"/>
  <c r="X56" i="3"/>
  <c r="AA26" i="3"/>
  <c r="T50" i="4" l="1"/>
  <c r="S56" i="4"/>
  <c r="T21" i="5"/>
  <c r="S27" i="5"/>
  <c r="W16" i="4"/>
  <c r="Z33" i="9"/>
  <c r="Z39" i="9" s="1"/>
  <c r="Z77" i="9" s="1"/>
  <c r="W80" i="4"/>
  <c r="Y60" i="9"/>
  <c r="Y59" i="9" s="1"/>
  <c r="Y34" i="9"/>
  <c r="Y40" i="9" s="1"/>
  <c r="Z5" i="9"/>
  <c r="Z70" i="9" s="1"/>
  <c r="Y12" i="9"/>
  <c r="Y71" i="9" s="1"/>
  <c r="Y72" i="9" s="1"/>
  <c r="Y9" i="5" s="1"/>
  <c r="Z13" i="9"/>
  <c r="Z34" i="9" s="1"/>
  <c r="Z40" i="3"/>
  <c r="Z78" i="4" s="1"/>
  <c r="AA6" i="9"/>
  <c r="AA58" i="9" s="1"/>
  <c r="AA16" i="3"/>
  <c r="X78" i="9"/>
  <c r="X41" i="9"/>
  <c r="X7" i="5" s="1"/>
  <c r="X62" i="9"/>
  <c r="X8" i="5" s="1"/>
  <c r="D23" i="5" s="1"/>
  <c r="X5" i="5"/>
  <c r="D24" i="5" s="1"/>
  <c r="X5" i="4"/>
  <c r="Z61" i="9"/>
  <c r="Z17" i="9"/>
  <c r="AA33" i="3"/>
  <c r="AA35" i="3"/>
  <c r="AA15" i="9" s="1"/>
  <c r="AA34" i="3"/>
  <c r="AA14" i="9" s="1"/>
  <c r="AA29" i="3"/>
  <c r="AA18" i="9" s="1"/>
  <c r="AA31" i="3"/>
  <c r="AA20" i="9" s="1"/>
  <c r="AA30" i="3"/>
  <c r="AA19" i="9" s="1"/>
  <c r="AB7" i="9"/>
  <c r="AB8" i="9"/>
  <c r="X69" i="4"/>
  <c r="X70" i="4"/>
  <c r="Y56" i="3"/>
  <c r="U21" i="5" l="1"/>
  <c r="T27" i="5"/>
  <c r="U50" i="4"/>
  <c r="T56" i="4"/>
  <c r="X19" i="4"/>
  <c r="D53" i="4"/>
  <c r="Z60" i="9"/>
  <c r="Z59" i="9" s="1"/>
  <c r="Z12" i="9"/>
  <c r="Z71" i="9" s="1"/>
  <c r="Z72" i="9" s="1"/>
  <c r="Z9" i="5" s="1"/>
  <c r="Y78" i="9"/>
  <c r="Y35" i="9"/>
  <c r="Y41" i="9" s="1"/>
  <c r="Y7" i="5" s="1"/>
  <c r="AA5" i="9"/>
  <c r="AA70" i="9" s="1"/>
  <c r="AA33" i="9"/>
  <c r="AA39" i="9" s="1"/>
  <c r="AA77" i="9" s="1"/>
  <c r="AB6" i="9"/>
  <c r="AB33" i="9" s="1"/>
  <c r="AA13" i="9"/>
  <c r="AA40" i="3"/>
  <c r="AA78" i="4" s="1"/>
  <c r="Z35" i="9"/>
  <c r="Z40" i="9"/>
  <c r="Y62" i="9"/>
  <c r="Y8" i="5" s="1"/>
  <c r="X80" i="4"/>
  <c r="X16" i="4"/>
  <c r="Y5" i="5"/>
  <c r="Y5" i="4"/>
  <c r="Y19" i="4" s="1"/>
  <c r="X79" i="4"/>
  <c r="X17" i="4"/>
  <c r="AA61" i="9"/>
  <c r="AA17" i="9"/>
  <c r="AB14" i="9"/>
  <c r="AB15" i="9"/>
  <c r="AB19" i="9"/>
  <c r="AB18" i="9"/>
  <c r="AB20" i="9"/>
  <c r="X71" i="4"/>
  <c r="Y67" i="4" s="1"/>
  <c r="Z56" i="3"/>
  <c r="V50" i="4" l="1"/>
  <c r="U56" i="4"/>
  <c r="V21" i="5"/>
  <c r="U27" i="5"/>
  <c r="AB5" i="9"/>
  <c r="AB70" i="9" s="1"/>
  <c r="AB58" i="9"/>
  <c r="AA60" i="9"/>
  <c r="AA59" i="9" s="1"/>
  <c r="AA34" i="9"/>
  <c r="AA40" i="9" s="1"/>
  <c r="AA12" i="9"/>
  <c r="AA71" i="9" s="1"/>
  <c r="AA72" i="9" s="1"/>
  <c r="AA9" i="5" s="1"/>
  <c r="Z78" i="9"/>
  <c r="AB13" i="9"/>
  <c r="AB60" i="9" s="1"/>
  <c r="AB78" i="4"/>
  <c r="AB39" i="9"/>
  <c r="C33" i="9"/>
  <c r="Z41" i="9"/>
  <c r="Z7" i="5" s="1"/>
  <c r="Z62" i="9"/>
  <c r="Z8" i="5" s="1"/>
  <c r="Z5" i="5"/>
  <c r="Z5" i="4"/>
  <c r="Z19" i="4" s="1"/>
  <c r="AB61" i="9"/>
  <c r="AB17" i="9"/>
  <c r="Y69" i="4"/>
  <c r="Y70" i="4"/>
  <c r="AA56" i="3"/>
  <c r="AB77" i="4"/>
  <c r="F77" i="4"/>
  <c r="F75" i="4" s="1"/>
  <c r="W50" i="4" l="1"/>
  <c r="V56" i="4"/>
  <c r="W21" i="5"/>
  <c r="V27" i="5"/>
  <c r="AB77" i="9"/>
  <c r="C77" i="9" s="1"/>
  <c r="AB12" i="9"/>
  <c r="AB71" i="9" s="1"/>
  <c r="AB72" i="9" s="1"/>
  <c r="AB9" i="5" s="1"/>
  <c r="D9" i="5" s="1"/>
  <c r="AB34" i="9"/>
  <c r="C34" i="9" s="1"/>
  <c r="AA35" i="9"/>
  <c r="AA41" i="9" s="1"/>
  <c r="AA7" i="5" s="1"/>
  <c r="AA78" i="9"/>
  <c r="AA62" i="9"/>
  <c r="AA8" i="5" s="1"/>
  <c r="H77" i="4"/>
  <c r="H75" i="4" s="1"/>
  <c r="H86" i="4" s="1"/>
  <c r="H81" i="4" s="1"/>
  <c r="G77" i="4"/>
  <c r="G75" i="4" s="1"/>
  <c r="G86" i="4" s="1"/>
  <c r="G81" i="4" s="1"/>
  <c r="J77" i="4"/>
  <c r="J75" i="4" s="1"/>
  <c r="J86" i="4" s="1"/>
  <c r="J81" i="4" s="1"/>
  <c r="N77" i="4"/>
  <c r="N75" i="4" s="1"/>
  <c r="N86" i="4" s="1"/>
  <c r="N81" i="4" s="1"/>
  <c r="K77" i="4"/>
  <c r="K75" i="4" s="1"/>
  <c r="K86" i="4" s="1"/>
  <c r="K81" i="4" s="1"/>
  <c r="L77" i="4"/>
  <c r="L75" i="4" s="1"/>
  <c r="L86" i="4" s="1"/>
  <c r="L81" i="4" s="1"/>
  <c r="V77" i="4"/>
  <c r="V75" i="4" s="1"/>
  <c r="V86" i="4" s="1"/>
  <c r="V81" i="4" s="1"/>
  <c r="O77" i="4"/>
  <c r="O75" i="4" s="1"/>
  <c r="O86" i="4" s="1"/>
  <c r="O81" i="4" s="1"/>
  <c r="W77" i="4"/>
  <c r="W75" i="4" s="1"/>
  <c r="W86" i="4" s="1"/>
  <c r="W81" i="4" s="1"/>
  <c r="X77" i="4"/>
  <c r="X75" i="4" s="1"/>
  <c r="X86" i="4" s="1"/>
  <c r="X81" i="4" s="1"/>
  <c r="AB59" i="9"/>
  <c r="E77" i="4"/>
  <c r="E75" i="4" s="1"/>
  <c r="E86" i="4" s="1"/>
  <c r="E81" i="4" s="1"/>
  <c r="E87" i="4" s="1"/>
  <c r="E88" i="4" s="1"/>
  <c r="M77" i="4"/>
  <c r="M75" i="4" s="1"/>
  <c r="M86" i="4" s="1"/>
  <c r="M81" i="4" s="1"/>
  <c r="I77" i="4"/>
  <c r="I75" i="4" s="1"/>
  <c r="I86" i="4" s="1"/>
  <c r="I81" i="4" s="1"/>
  <c r="T77" i="4"/>
  <c r="T75" i="4" s="1"/>
  <c r="T86" i="4" s="1"/>
  <c r="T81" i="4" s="1"/>
  <c r="Y79" i="4"/>
  <c r="Y17" i="4"/>
  <c r="U77" i="4"/>
  <c r="U75" i="4" s="1"/>
  <c r="U86" i="4" s="1"/>
  <c r="U81" i="4" s="1"/>
  <c r="U87" i="4" s="1"/>
  <c r="Q77" i="4"/>
  <c r="Q75" i="4" s="1"/>
  <c r="Q86" i="4" s="1"/>
  <c r="Q81" i="4" s="1"/>
  <c r="Y77" i="4"/>
  <c r="R77" i="4"/>
  <c r="R75" i="4" s="1"/>
  <c r="R86" i="4" s="1"/>
  <c r="R81" i="4" s="1"/>
  <c r="Z77" i="4"/>
  <c r="P77" i="4"/>
  <c r="P75" i="4" s="1"/>
  <c r="P86" i="4" s="1"/>
  <c r="P81" i="4" s="1"/>
  <c r="S77" i="4"/>
  <c r="S75" i="4" s="1"/>
  <c r="S86" i="4" s="1"/>
  <c r="S81" i="4" s="1"/>
  <c r="AA77" i="4"/>
  <c r="AA5" i="4"/>
  <c r="AA19" i="4" s="1"/>
  <c r="AA5" i="5"/>
  <c r="Y80" i="4"/>
  <c r="Y16" i="4"/>
  <c r="Y71" i="4"/>
  <c r="Z67" i="4" s="1"/>
  <c r="N57" i="3"/>
  <c r="O57" i="3"/>
  <c r="F57" i="3"/>
  <c r="F86" i="4"/>
  <c r="F81" i="4" s="1"/>
  <c r="X57" i="3"/>
  <c r="L57" i="3"/>
  <c r="K57" i="3"/>
  <c r="V57" i="3"/>
  <c r="V4" i="5" s="1"/>
  <c r="I57" i="3"/>
  <c r="Z57" i="3"/>
  <c r="P57" i="3"/>
  <c r="AA57" i="3"/>
  <c r="Q57" i="3"/>
  <c r="M57" i="3"/>
  <c r="E57" i="3"/>
  <c r="E4" i="5" s="1"/>
  <c r="R57" i="3"/>
  <c r="S57" i="3"/>
  <c r="U57" i="3"/>
  <c r="W57" i="3"/>
  <c r="H57" i="3"/>
  <c r="Y57" i="3"/>
  <c r="G57" i="3"/>
  <c r="J57" i="3"/>
  <c r="T57" i="3"/>
  <c r="X21" i="5" l="1"/>
  <c r="W27" i="5"/>
  <c r="X50" i="4"/>
  <c r="W56" i="4"/>
  <c r="D76" i="12"/>
  <c r="AB35" i="9"/>
  <c r="C35" i="9" s="1"/>
  <c r="AB40" i="9"/>
  <c r="AB78" i="9" s="1"/>
  <c r="C78" i="9" s="1"/>
  <c r="AB62" i="9"/>
  <c r="AB8" i="5" s="1"/>
  <c r="D8" i="5" s="1"/>
  <c r="J4" i="5"/>
  <c r="J4" i="4"/>
  <c r="J18" i="4" s="1"/>
  <c r="L4" i="5"/>
  <c r="L4" i="4"/>
  <c r="L18" i="4" s="1"/>
  <c r="AB4" i="5"/>
  <c r="AB4" i="4"/>
  <c r="AB18" i="4" s="1"/>
  <c r="Y4" i="4"/>
  <c r="Y18" i="4" s="1"/>
  <c r="Y4" i="5"/>
  <c r="AA4" i="5"/>
  <c r="AA4" i="4"/>
  <c r="AA18" i="4" s="1"/>
  <c r="I4" i="4"/>
  <c r="I18" i="4" s="1"/>
  <c r="I4" i="5"/>
  <c r="P4" i="5"/>
  <c r="P4" i="4"/>
  <c r="P18" i="4" s="1"/>
  <c r="G4" i="5"/>
  <c r="G4" i="4"/>
  <c r="G18" i="4" s="1"/>
  <c r="R4" i="5"/>
  <c r="R4" i="4"/>
  <c r="R18" i="4" s="1"/>
  <c r="Z4" i="5"/>
  <c r="Z4" i="4"/>
  <c r="Z18" i="4" s="1"/>
  <c r="V4" i="4"/>
  <c r="V18" i="4" s="1"/>
  <c r="AB5" i="5"/>
  <c r="D5" i="5" s="1"/>
  <c r="AB5" i="4"/>
  <c r="AB19" i="4" s="1"/>
  <c r="U4" i="5"/>
  <c r="U4" i="4"/>
  <c r="U18" i="4" s="1"/>
  <c r="O4" i="5"/>
  <c r="O4" i="4"/>
  <c r="O18" i="4" s="1"/>
  <c r="S4" i="5"/>
  <c r="S4" i="4"/>
  <c r="S18" i="4" s="1"/>
  <c r="M4" i="5"/>
  <c r="M4" i="4"/>
  <c r="M18" i="4" s="1"/>
  <c r="X4" i="5"/>
  <c r="X4" i="4"/>
  <c r="X18" i="4" s="1"/>
  <c r="T4" i="5"/>
  <c r="T4" i="4"/>
  <c r="T18" i="4" s="1"/>
  <c r="H4" i="5"/>
  <c r="H4" i="4"/>
  <c r="H18" i="4" s="1"/>
  <c r="Q4" i="5"/>
  <c r="Q4" i="4"/>
  <c r="Q18" i="4" s="1"/>
  <c r="W4" i="5"/>
  <c r="W4" i="4"/>
  <c r="W18" i="4" s="1"/>
  <c r="K4" i="5"/>
  <c r="K4" i="4"/>
  <c r="K18" i="4" s="1"/>
  <c r="F4" i="5"/>
  <c r="D25" i="5" s="1"/>
  <c r="F4" i="4"/>
  <c r="F18" i="4" s="1"/>
  <c r="N4" i="5"/>
  <c r="N4" i="4"/>
  <c r="N18" i="4" s="1"/>
  <c r="Y75" i="4"/>
  <c r="Y86" i="4" s="1"/>
  <c r="Y81" i="4" s="1"/>
  <c r="R87" i="4"/>
  <c r="I87" i="4"/>
  <c r="T87" i="4"/>
  <c r="G87" i="4"/>
  <c r="V87" i="4"/>
  <c r="H87" i="4"/>
  <c r="P87" i="4"/>
  <c r="M87" i="4"/>
  <c r="K87" i="4"/>
  <c r="Q87" i="4"/>
  <c r="W87" i="4"/>
  <c r="L87" i="4"/>
  <c r="O87" i="4"/>
  <c r="J87" i="4"/>
  <c r="F87" i="4"/>
  <c r="F88" i="4" s="1"/>
  <c r="N87" i="4"/>
  <c r="S87" i="4"/>
  <c r="X87" i="4"/>
  <c r="E4" i="4"/>
  <c r="Z69" i="4"/>
  <c r="Z70" i="4"/>
  <c r="Y50" i="4" l="1"/>
  <c r="X56" i="4"/>
  <c r="AB41" i="9"/>
  <c r="AB7" i="5" s="1"/>
  <c r="D7" i="5" s="1"/>
  <c r="Y21" i="5"/>
  <c r="X27" i="5"/>
  <c r="E27" i="5"/>
  <c r="M27" i="5"/>
  <c r="G27" i="5"/>
  <c r="H27" i="5"/>
  <c r="I27" i="5"/>
  <c r="J27" i="5"/>
  <c r="F27" i="5"/>
  <c r="K27" i="5"/>
  <c r="L27" i="5"/>
  <c r="E18" i="4"/>
  <c r="D54" i="4"/>
  <c r="D78" i="12"/>
  <c r="D77" i="12"/>
  <c r="D4" i="5"/>
  <c r="Z71" i="4"/>
  <c r="AA67" i="4" s="1"/>
  <c r="AA69" i="4" s="1"/>
  <c r="Z80" i="4"/>
  <c r="Z16" i="4"/>
  <c r="Z79" i="4"/>
  <c r="Z17" i="4"/>
  <c r="G88" i="4"/>
  <c r="H88" i="4" s="1"/>
  <c r="I88" i="4" s="1"/>
  <c r="J88" i="4" s="1"/>
  <c r="K88" i="4" s="1"/>
  <c r="L88" i="4" s="1"/>
  <c r="M88" i="4" s="1"/>
  <c r="N88" i="4" s="1"/>
  <c r="O88" i="4" s="1"/>
  <c r="P88" i="4" s="1"/>
  <c r="Q88" i="4" s="1"/>
  <c r="R88" i="4" s="1"/>
  <c r="S88" i="4" s="1"/>
  <c r="T88" i="4" s="1"/>
  <c r="U88" i="4" s="1"/>
  <c r="V88" i="4" s="1"/>
  <c r="W88" i="4" s="1"/>
  <c r="X88" i="4" s="1"/>
  <c r="Y87" i="4"/>
  <c r="Z21" i="5" l="1"/>
  <c r="Y27" i="5"/>
  <c r="Z50" i="4"/>
  <c r="Y56" i="4"/>
  <c r="E56" i="4"/>
  <c r="J56" i="4"/>
  <c r="M56" i="4"/>
  <c r="H56" i="4"/>
  <c r="F56" i="4"/>
  <c r="K56" i="4"/>
  <c r="I56" i="4"/>
  <c r="L56" i="4"/>
  <c r="G56" i="4"/>
  <c r="Z75" i="4"/>
  <c r="Z86" i="4" s="1"/>
  <c r="Z81" i="4" s="1"/>
  <c r="AA71" i="4"/>
  <c r="AB67" i="4" s="1"/>
  <c r="AB70" i="4" s="1"/>
  <c r="AA80" i="4"/>
  <c r="AA16" i="4"/>
  <c r="AA70" i="4"/>
  <c r="Y88" i="4"/>
  <c r="AA50" i="4" l="1"/>
  <c r="Z56" i="4"/>
  <c r="AA21" i="5"/>
  <c r="Z27" i="5"/>
  <c r="AB69" i="4"/>
  <c r="AB16" i="4" s="1"/>
  <c r="AB79" i="4"/>
  <c r="AB17" i="4"/>
  <c r="AA79" i="4"/>
  <c r="AA75" i="4" s="1"/>
  <c r="AA86" i="4" s="1"/>
  <c r="AA81" i="4" s="1"/>
  <c r="AA17" i="4"/>
  <c r="Z87" i="4"/>
  <c r="Z88" i="4" s="1"/>
  <c r="AB21" i="5" l="1"/>
  <c r="AB27" i="5" s="1"/>
  <c r="AA27" i="5"/>
  <c r="AB50" i="4"/>
  <c r="AB56" i="4" s="1"/>
  <c r="AA56" i="4"/>
  <c r="D58" i="4" s="1"/>
  <c r="AB71" i="4"/>
  <c r="AB80" i="4"/>
  <c r="AB75" i="4" s="1"/>
  <c r="AB86" i="4" s="1"/>
  <c r="AB81" i="4" s="1"/>
  <c r="AA87" i="4"/>
  <c r="AA88" i="4" s="1"/>
  <c r="D29" i="5" l="1"/>
  <c r="L10" i="5" s="1"/>
  <c r="Q7" i="4"/>
  <c r="AB87" i="4"/>
  <c r="AB88" i="4" s="1"/>
  <c r="X10" i="5" l="1"/>
  <c r="R10" i="5"/>
  <c r="O10" i="5"/>
  <c r="Y10" i="5"/>
  <c r="E10" i="5"/>
  <c r="G10" i="5"/>
  <c r="I10" i="5"/>
  <c r="S10" i="5"/>
  <c r="AA10" i="5"/>
  <c r="W10" i="5"/>
  <c r="Z10" i="5"/>
  <c r="M10" i="5"/>
  <c r="V10" i="5"/>
  <c r="K10" i="5"/>
  <c r="D10" i="5" s="1"/>
  <c r="D18" i="5" s="1"/>
  <c r="D6" i="12" s="1"/>
  <c r="AB10" i="5"/>
  <c r="N10" i="5"/>
  <c r="H10" i="5"/>
  <c r="J10" i="5"/>
  <c r="P10" i="5"/>
  <c r="U10" i="5"/>
  <c r="F10" i="5"/>
  <c r="T10" i="5"/>
  <c r="Q10" i="5"/>
  <c r="R7" i="4"/>
  <c r="K7" i="4"/>
  <c r="S7" i="4"/>
  <c r="X7" i="4"/>
  <c r="I7" i="4"/>
  <c r="E7" i="4"/>
  <c r="AB7" i="4"/>
  <c r="Y7" i="4"/>
  <c r="G7" i="4"/>
  <c r="N7" i="4"/>
  <c r="M7" i="4"/>
  <c r="J7" i="4"/>
  <c r="Z7" i="4"/>
  <c r="W7" i="4"/>
  <c r="L7" i="4"/>
  <c r="V7" i="4"/>
  <c r="H7" i="4"/>
  <c r="AA7" i="4"/>
  <c r="U7" i="4"/>
  <c r="P7" i="4"/>
  <c r="T7" i="4"/>
  <c r="F7" i="4"/>
  <c r="O7" i="4"/>
  <c r="F21" i="4" l="1"/>
  <c r="J21" i="4"/>
  <c r="N21" i="4"/>
  <c r="R21" i="4"/>
  <c r="V21" i="4"/>
  <c r="Z21" i="4"/>
  <c r="M21" i="4"/>
  <c r="Y21" i="4"/>
  <c r="G21" i="4"/>
  <c r="K21" i="4"/>
  <c r="O21" i="4"/>
  <c r="S21" i="4"/>
  <c r="W21" i="4"/>
  <c r="AA21" i="4"/>
  <c r="I21" i="4"/>
  <c r="Q21" i="4"/>
  <c r="H21" i="4"/>
  <c r="L21" i="4"/>
  <c r="P21" i="4"/>
  <c r="T21" i="4"/>
  <c r="X21" i="4"/>
  <c r="AB21" i="4"/>
  <c r="U21" i="4"/>
  <c r="E21" i="4"/>
  <c r="E8" i="4" l="1"/>
  <c r="K8" i="4"/>
  <c r="K9" i="4" s="1"/>
  <c r="K22" i="4"/>
  <c r="K23" i="4" s="1"/>
  <c r="U8" i="4"/>
  <c r="U9" i="4" s="1"/>
  <c r="U22" i="4"/>
  <c r="U23" i="4" s="1"/>
  <c r="S8" i="4"/>
  <c r="S9" i="4" s="1"/>
  <c r="S22" i="4"/>
  <c r="S23" i="4" s="1"/>
  <c r="H8" i="4"/>
  <c r="H9" i="4" s="1"/>
  <c r="H22" i="4"/>
  <c r="H23" i="4" s="1"/>
  <c r="Q8" i="4"/>
  <c r="Q9" i="4" s="1"/>
  <c r="Q22" i="4"/>
  <c r="Q23" i="4" s="1"/>
  <c r="N8" i="4"/>
  <c r="N9" i="4" s="1"/>
  <c r="N22" i="4"/>
  <c r="N23" i="4" s="1"/>
  <c r="V8" i="4"/>
  <c r="V9" i="4" s="1"/>
  <c r="V22" i="4"/>
  <c r="V23" i="4" s="1"/>
  <c r="AA8" i="4"/>
  <c r="AA9" i="4" s="1"/>
  <c r="AA22" i="4"/>
  <c r="AA23" i="4" s="1"/>
  <c r="X8" i="4"/>
  <c r="X9" i="4" s="1"/>
  <c r="X22" i="4"/>
  <c r="X23" i="4" s="1"/>
  <c r="T8" i="4"/>
  <c r="T9" i="4" s="1"/>
  <c r="T22" i="4"/>
  <c r="T23" i="4" s="1"/>
  <c r="J8" i="4"/>
  <c r="J9" i="4" s="1"/>
  <c r="J22" i="4"/>
  <c r="J23" i="4" s="1"/>
  <c r="M8" i="4"/>
  <c r="M9" i="4" s="1"/>
  <c r="M22" i="4"/>
  <c r="M23" i="4" s="1"/>
  <c r="AB8" i="4"/>
  <c r="AB9" i="4" s="1"/>
  <c r="AB22" i="4"/>
  <c r="AB23" i="4" s="1"/>
  <c r="Z8" i="4"/>
  <c r="Z9" i="4" s="1"/>
  <c r="Z22" i="4"/>
  <c r="Z23" i="4" s="1"/>
  <c r="R8" i="4"/>
  <c r="R9" i="4" s="1"/>
  <c r="R22" i="4"/>
  <c r="R23" i="4" s="1"/>
  <c r="F8" i="4"/>
  <c r="F9" i="4" s="1"/>
  <c r="F22" i="4"/>
  <c r="F23" i="4" s="1"/>
  <c r="P8" i="4"/>
  <c r="P9" i="4" s="1"/>
  <c r="P22" i="4"/>
  <c r="P23" i="4" s="1"/>
  <c r="E22" i="4"/>
  <c r="G8" i="4"/>
  <c r="G22" i="4"/>
  <c r="G23" i="4" s="1"/>
  <c r="Y8" i="4"/>
  <c r="Y9" i="4" s="1"/>
  <c r="Y22" i="4"/>
  <c r="Y23" i="4" s="1"/>
  <c r="W8" i="4"/>
  <c r="W9" i="4" s="1"/>
  <c r="W22" i="4"/>
  <c r="W23" i="4" s="1"/>
  <c r="I8" i="4"/>
  <c r="I22" i="4"/>
  <c r="L8" i="4"/>
  <c r="L9" i="4" s="1"/>
  <c r="L22" i="4"/>
  <c r="L23" i="4" s="1"/>
  <c r="O8" i="4"/>
  <c r="O9" i="4" s="1"/>
  <c r="O22" i="4"/>
  <c r="O23" i="4" s="1"/>
  <c r="O12" i="5"/>
  <c r="O13" i="5" s="1"/>
  <c r="X12" i="5"/>
  <c r="X13" i="5" s="1"/>
  <c r="Y12" i="5"/>
  <c r="Y13" i="5" s="1"/>
  <c r="AB12" i="5"/>
  <c r="AB13" i="5" s="1"/>
  <c r="N12" i="5"/>
  <c r="N13" i="5" s="1"/>
  <c r="L12" i="5"/>
  <c r="L13" i="5" s="1"/>
  <c r="T12" i="5"/>
  <c r="T13" i="5" s="1"/>
  <c r="U12" i="5"/>
  <c r="U13" i="5" s="1"/>
  <c r="G12" i="5"/>
  <c r="G13" i="5" s="1"/>
  <c r="F12" i="5"/>
  <c r="F13" i="5" s="1"/>
  <c r="K12" i="5"/>
  <c r="K13" i="5" s="1"/>
  <c r="J12" i="5"/>
  <c r="J13" i="5" s="1"/>
  <c r="Q12" i="5"/>
  <c r="Q13" i="5" s="1"/>
  <c r="S12" i="5"/>
  <c r="S13" i="5" s="1"/>
  <c r="P12" i="5"/>
  <c r="P13" i="5" s="1"/>
  <c r="Z12" i="5"/>
  <c r="Z13" i="5" s="1"/>
  <c r="W12" i="5"/>
  <c r="W13" i="5" s="1"/>
  <c r="V12" i="5"/>
  <c r="V13" i="5" s="1"/>
  <c r="AA12" i="5"/>
  <c r="AA13" i="5" s="1"/>
  <c r="M12" i="5"/>
  <c r="M13" i="5" s="1"/>
  <c r="R12" i="5"/>
  <c r="R13" i="5" s="1"/>
  <c r="H12" i="5"/>
  <c r="H13" i="5" s="1"/>
  <c r="I12" i="5"/>
  <c r="I13" i="5" s="1"/>
  <c r="E9" i="4" l="1"/>
  <c r="E10" i="4"/>
  <c r="F10" i="4"/>
  <c r="T10" i="4"/>
  <c r="G10" i="4"/>
  <c r="G9" i="4"/>
  <c r="I9" i="4"/>
  <c r="H10" i="4"/>
  <c r="U10" i="4"/>
  <c r="L10" i="4"/>
  <c r="W10" i="4"/>
  <c r="AB10" i="4"/>
  <c r="Q10" i="4"/>
  <c r="S10" i="4"/>
  <c r="X10" i="4"/>
  <c r="P10" i="4"/>
  <c r="V10" i="4"/>
  <c r="AA10" i="4"/>
  <c r="O10" i="4"/>
  <c r="I10" i="4"/>
  <c r="Y10" i="4"/>
  <c r="M10" i="4"/>
  <c r="R10" i="4"/>
  <c r="J10" i="4"/>
  <c r="K10" i="4"/>
  <c r="N10" i="4"/>
  <c r="Z10" i="4"/>
  <c r="J24" i="4"/>
  <c r="I23" i="4"/>
  <c r="E24" i="4"/>
  <c r="F24" i="4"/>
  <c r="G24" i="4"/>
  <c r="U24" i="4"/>
  <c r="O24" i="4"/>
  <c r="AA24" i="4"/>
  <c r="Z24" i="4"/>
  <c r="Q24" i="4"/>
  <c r="X24" i="4"/>
  <c r="P24" i="4"/>
  <c r="H24" i="4"/>
  <c r="W24" i="4"/>
  <c r="M24" i="4"/>
  <c r="I24" i="4"/>
  <c r="R24" i="4"/>
  <c r="V24" i="4"/>
  <c r="Y24" i="4"/>
  <c r="N24" i="4"/>
  <c r="AB24" i="4"/>
  <c r="L24" i="4"/>
  <c r="K24" i="4"/>
  <c r="S24" i="4"/>
  <c r="T24" i="4"/>
  <c r="E23" i="4"/>
  <c r="D12" i="12" s="1"/>
  <c r="E12" i="5"/>
  <c r="D13" i="12" l="1"/>
  <c r="D11" i="12"/>
  <c r="D10" i="12"/>
  <c r="T14" i="5"/>
  <c r="P14" i="5"/>
  <c r="M14" i="5"/>
  <c r="AB14" i="5"/>
  <c r="S14" i="5"/>
  <c r="H14" i="5"/>
  <c r="Y14" i="5"/>
  <c r="J14" i="5"/>
  <c r="N14" i="5"/>
  <c r="AA14" i="5"/>
  <c r="U14" i="5"/>
  <c r="I14" i="5"/>
  <c r="Q14" i="5"/>
  <c r="Z14" i="5"/>
  <c r="G14" i="5"/>
  <c r="L14" i="5"/>
  <c r="K14" i="5"/>
  <c r="F14" i="5"/>
  <c r="E14" i="5"/>
  <c r="X14" i="5"/>
  <c r="O14" i="5"/>
  <c r="E13" i="5"/>
  <c r="D16" i="5" s="1"/>
  <c r="D4" i="12" s="1"/>
  <c r="W14" i="5"/>
  <c r="R14" i="5"/>
  <c r="V14" i="5"/>
  <c r="D17" i="5" l="1"/>
  <c r="E11" i="6"/>
  <c r="F19" i="12" s="1"/>
  <c r="F11" i="6"/>
  <c r="H19" i="12" s="1"/>
  <c r="H52" i="12" l="1"/>
  <c r="G52" i="12" s="1"/>
  <c r="G38" i="12"/>
  <c r="G34" i="12"/>
  <c r="G44" i="12"/>
  <c r="G55" i="12"/>
  <c r="G53" i="12"/>
  <c r="G30" i="12"/>
  <c r="H20" i="12"/>
  <c r="G35" i="12"/>
  <c r="G36" i="12"/>
  <c r="G39" i="12"/>
  <c r="G46" i="12"/>
  <c r="G25" i="12"/>
  <c r="G33" i="12"/>
  <c r="G50" i="12"/>
  <c r="G28" i="12"/>
  <c r="G29" i="12"/>
  <c r="G49" i="12"/>
  <c r="G27" i="12"/>
  <c r="G47" i="12"/>
  <c r="G42" i="12"/>
  <c r="G51" i="12"/>
  <c r="G37" i="12"/>
  <c r="G19" i="12"/>
  <c r="G26" i="12"/>
  <c r="G48" i="12"/>
  <c r="G41" i="12"/>
  <c r="G45" i="12"/>
  <c r="G24" i="12"/>
  <c r="G54" i="12"/>
  <c r="G43" i="12"/>
  <c r="G40" i="12"/>
  <c r="G56" i="12"/>
  <c r="G31" i="12"/>
  <c r="G32" i="12"/>
  <c r="E19" i="12"/>
  <c r="E37" i="12"/>
  <c r="E27" i="12"/>
  <c r="F20" i="12"/>
  <c r="E40" i="12"/>
  <c r="E35" i="12"/>
  <c r="E43" i="12"/>
  <c r="E48" i="12"/>
  <c r="E50" i="12"/>
  <c r="E53" i="12"/>
  <c r="E47" i="12"/>
  <c r="F52" i="12"/>
  <c r="E52" i="12" s="1"/>
  <c r="E34" i="12"/>
  <c r="E44" i="12"/>
  <c r="E54" i="12"/>
  <c r="E32" i="12"/>
  <c r="E25" i="12"/>
  <c r="E55" i="12"/>
  <c r="E36" i="12"/>
  <c r="E49" i="12"/>
  <c r="E38" i="12"/>
  <c r="E30" i="12"/>
  <c r="E56" i="12"/>
  <c r="E46" i="12"/>
  <c r="E42" i="12"/>
  <c r="E29" i="12"/>
  <c r="E33" i="12"/>
  <c r="E41" i="12"/>
  <c r="E26" i="12"/>
  <c r="E31" i="12"/>
  <c r="E24" i="12"/>
  <c r="E45" i="12"/>
  <c r="E28" i="12"/>
  <c r="E39" i="12"/>
  <c r="E51" i="12"/>
  <c r="D5" i="12"/>
  <c r="G20" i="12" l="1"/>
  <c r="H21" i="12"/>
  <c r="E20" i="12"/>
  <c r="F21" i="12"/>
  <c r="D11" i="6"/>
  <c r="D19" i="12" s="1"/>
  <c r="F22" i="12" l="1"/>
  <c r="E21" i="12"/>
  <c r="G21" i="12"/>
  <c r="H22" i="12"/>
  <c r="D52" i="12"/>
  <c r="C52" i="12" s="1"/>
  <c r="C43" i="12"/>
  <c r="C51" i="12"/>
  <c r="C49" i="12"/>
  <c r="C24" i="12"/>
  <c r="C32" i="12"/>
  <c r="C36" i="12"/>
  <c r="C42" i="12"/>
  <c r="C45" i="12"/>
  <c r="C39" i="12"/>
  <c r="C53" i="12"/>
  <c r="C35" i="12"/>
  <c r="C26" i="12"/>
  <c r="C34" i="12"/>
  <c r="C25" i="12"/>
  <c r="C44" i="12"/>
  <c r="C29" i="12"/>
  <c r="C28" i="12"/>
  <c r="D20" i="12"/>
  <c r="C33" i="12"/>
  <c r="C30" i="12"/>
  <c r="C40" i="12"/>
  <c r="C47" i="12"/>
  <c r="C27" i="12"/>
  <c r="C46" i="12"/>
  <c r="C48" i="12"/>
  <c r="C37" i="12"/>
  <c r="C50" i="12"/>
  <c r="C41" i="12"/>
  <c r="C38" i="12"/>
  <c r="C54" i="12"/>
  <c r="C56" i="12"/>
  <c r="C31" i="12"/>
  <c r="C19" i="12"/>
  <c r="C55" i="12"/>
  <c r="G22" i="12" l="1"/>
  <c r="H23" i="12"/>
  <c r="G23" i="12" s="1"/>
  <c r="C20" i="12"/>
  <c r="D21" i="12"/>
  <c r="E22" i="12"/>
  <c r="F23" i="12"/>
  <c r="E23" i="12" s="1"/>
  <c r="D22" i="12" l="1"/>
  <c r="C21" i="12"/>
  <c r="C22" i="12" l="1"/>
  <c r="D23" i="12"/>
  <c r="C23" i="12" s="1"/>
</calcChain>
</file>

<file path=xl/sharedStrings.xml><?xml version="1.0" encoding="utf-8"?>
<sst xmlns="http://schemas.openxmlformats.org/spreadsheetml/2006/main" count="951" uniqueCount="474">
  <si>
    <t>Nazwa projektu</t>
  </si>
  <si>
    <t>Pierwszy rok analizy</t>
  </si>
  <si>
    <t>Pozycja</t>
  </si>
  <si>
    <t>Jednostka</t>
  </si>
  <si>
    <t>Rok analizy</t>
  </si>
  <si>
    <t>Liczba kupowanych autobusów</t>
  </si>
  <si>
    <t>Stopa dyskontowa w analizie finansowej</t>
  </si>
  <si>
    <t>Stopa dyskontowa w analizie ekonomicznej</t>
  </si>
  <si>
    <t>Okres odniesienia</t>
  </si>
  <si>
    <t>Korekta fiskalna</t>
  </si>
  <si>
    <t>koszty eksploatacji</t>
  </si>
  <si>
    <t>Parametry podstawowe</t>
  </si>
  <si>
    <t>Nakłady inwestycyjne</t>
  </si>
  <si>
    <t>%</t>
  </si>
  <si>
    <t>j</t>
  </si>
  <si>
    <t>lata</t>
  </si>
  <si>
    <t>szt</t>
  </si>
  <si>
    <t>PLN</t>
  </si>
  <si>
    <t>tekst</t>
  </si>
  <si>
    <t>Stawka VAT</t>
  </si>
  <si>
    <t>Harmonogram ponoszenia nakładów na autobusy</t>
  </si>
  <si>
    <t>Nakłady na zakup autobusów</t>
  </si>
  <si>
    <t>Nakłady na roboty budowlane</t>
  </si>
  <si>
    <t>Harmonogram ponoszenia nakładów na roboty budowlane</t>
  </si>
  <si>
    <t>Suma nakładów inwestycyjnych netto</t>
  </si>
  <si>
    <t>Dodatkowe koszty robót budowlanych netto</t>
  </si>
  <si>
    <t>Roboty budowlane netto</t>
  </si>
  <si>
    <t>Całkowity koszt zakupu autobusów netto</t>
  </si>
  <si>
    <t>Nakłady inwestycyjne w latach</t>
  </si>
  <si>
    <t>VAT całkowity w latach</t>
  </si>
  <si>
    <t>W tym VAT nieodliczalny</t>
  </si>
  <si>
    <t>Nakłady inwestycyjne do analizy finansowej</t>
  </si>
  <si>
    <t>tabor</t>
  </si>
  <si>
    <t>pozostałe nakłady</t>
  </si>
  <si>
    <t>Koszty eksploatacji</t>
  </si>
  <si>
    <t>PLN/wozkm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</si>
  <si>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</si>
  <si>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</si>
  <si>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</si>
  <si>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</si>
  <si>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</si>
  <si>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</si>
  <si>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Współczynnik dyskonta - analiza finansowa</t>
  </si>
  <si>
    <t>Współczynnik dyskonta - analiza ekonomiczna</t>
  </si>
  <si>
    <t>Nakłady odtworzeniowe</t>
  </si>
  <si>
    <t>Wycofywany tabor - odtworzenie</t>
  </si>
  <si>
    <t>Wycofywany tabor - koszty eksploatacji bez amortyzacji</t>
  </si>
  <si>
    <t>Nowy tabor  - koszty eksploatacji bez amortyzacji</t>
  </si>
  <si>
    <t>Oferta autobusowa</t>
  </si>
  <si>
    <t>wozkm</t>
  </si>
  <si>
    <t>Przychody</t>
  </si>
  <si>
    <t>osób</t>
  </si>
  <si>
    <t>Analiza ekonomiczna</t>
  </si>
  <si>
    <t>Norma silnika - tabor wycofywany</t>
  </si>
  <si>
    <t>Wartość</t>
  </si>
  <si>
    <t>Stopa dofinansowania</t>
  </si>
  <si>
    <t>Wartość rezydualna</t>
  </si>
  <si>
    <t>Wrażliwość na przyjęte do analizy typowe dla danego sektora  i typu projektu scenariusze kształtowania się zmiennych kluczowych</t>
  </si>
  <si>
    <t>Badana zmienna</t>
  </si>
  <si>
    <t>Zmiana finansowej zaktualizowanej wartości netto (FNPV(K)) (%)</t>
  </si>
  <si>
    <t>Wartość (FNPV(K) po zmianie</t>
  </si>
  <si>
    <t>Zmiana finansowej zaktualizowanej wartości netto (FNPV(C)) (%)</t>
  </si>
  <si>
    <t>Wartość FNPV(C)) po zmianie</t>
  </si>
  <si>
    <t>Zmiana ekonomicznej zaktualizowanej wartości netto (ENPV) (%)</t>
  </si>
  <si>
    <t>Wartość ENPV po zmianie</t>
  </si>
  <si>
    <t>Analiza wrażliwości</t>
  </si>
  <si>
    <t>Wartości progowe</t>
  </si>
  <si>
    <t>Parametry wrażliwości</t>
  </si>
  <si>
    <t>Jednostkowe koszty ekonomiczne</t>
  </si>
  <si>
    <t>Praca eksploatacyjna</t>
  </si>
  <si>
    <t>Liczba autobusów obsługujących trasę</t>
  </si>
  <si>
    <t>W tym nowymi autobusami</t>
  </si>
  <si>
    <t>Praca eksploatacyjna nowych autobusów</t>
  </si>
  <si>
    <t>Praca eksploatacyjna na trasie</t>
  </si>
  <si>
    <t>woz-km</t>
  </si>
  <si>
    <t>Wariant bezinwestycyjny</t>
  </si>
  <si>
    <t>Wariant inwestycyjny</t>
  </si>
  <si>
    <t>W tym autobusami podlegającymi wycofaniu na skutek projektu</t>
  </si>
  <si>
    <t>Praca eksploatacyjna autobusów starych</t>
  </si>
  <si>
    <t>Koszty utrzymania autobusów objętych projektem bez amortyzacji</t>
  </si>
  <si>
    <t>Nakłady odtworzeniowe na tabor</t>
  </si>
  <si>
    <t>Nakłady odtworzeniowe na infrastrukturę</t>
  </si>
  <si>
    <t>Pierwszy rok pełnej eksploatacji</t>
  </si>
  <si>
    <t>Przychód ze sprzedaży wycofywanego taboru</t>
  </si>
  <si>
    <t>Przychody netto ze sprzedaży i zrównane z nimi:</t>
  </si>
  <si>
    <t>Przychody netto ze sprzedaży produktów</t>
  </si>
  <si>
    <t>Zmiana stanu produktów</t>
  </si>
  <si>
    <t>Koszt wytworzenia produktów na własne potrzeby jednostki</t>
  </si>
  <si>
    <t xml:space="preserve">Przychody netto ze sprzedaży towarów i materiałów </t>
  </si>
  <si>
    <t>Koszty działalności operacyjnej</t>
  </si>
  <si>
    <t>Amortyzacja</t>
  </si>
  <si>
    <t>Pozostałe koszty</t>
  </si>
  <si>
    <t>Pozostałe przychody operacyjne</t>
  </si>
  <si>
    <t>Dotacja</t>
  </si>
  <si>
    <t>Inne przychody operacyjne</t>
  </si>
  <si>
    <t>Pozostale koszty operacyjne</t>
  </si>
  <si>
    <t>Przychody finansowe</t>
  </si>
  <si>
    <t>Dywidendy i udziały w zyskach</t>
  </si>
  <si>
    <t>Odsetki</t>
  </si>
  <si>
    <t xml:space="preserve">Inne </t>
  </si>
  <si>
    <t>Koszty finansowe</t>
  </si>
  <si>
    <t>Inne</t>
  </si>
  <si>
    <t>Wynik zdarzeń nadzwyczajnych</t>
  </si>
  <si>
    <t>Podatek dochodowy</t>
  </si>
  <si>
    <t>Aktywa trwałe</t>
  </si>
  <si>
    <t>Wartości niematerialne i prawne</t>
  </si>
  <si>
    <t xml:space="preserve">Należności długoterminowe </t>
  </si>
  <si>
    <t>Inwestycje długoterminowe</t>
  </si>
  <si>
    <t>Długoterminowe rozliczenia międzyokresowe</t>
  </si>
  <si>
    <t xml:space="preserve">Aktywa obrotowe </t>
  </si>
  <si>
    <t>Zapasy</t>
  </si>
  <si>
    <t xml:space="preserve">Należności krótkoterminowe </t>
  </si>
  <si>
    <t>Inwestycje krótkoterminowe</t>
  </si>
  <si>
    <t>Krótkoterminowe rozliczenia międzyokresowe</t>
  </si>
  <si>
    <t>Aktywa razem</t>
  </si>
  <si>
    <t>Kapitał własny</t>
  </si>
  <si>
    <t xml:space="preserve">Kapitał podstawowy </t>
  </si>
  <si>
    <t>Kapitał zapasowy</t>
  </si>
  <si>
    <t xml:space="preserve">Kaitał z aktualizacji wyceny </t>
  </si>
  <si>
    <t>Pozostałe kapitały rezerwowe</t>
  </si>
  <si>
    <t>Zysk (strata) z lat ubiegłych</t>
  </si>
  <si>
    <t>Zysk (strata) netto</t>
  </si>
  <si>
    <t>Zobowiązania i rezerwy na zobowiązania</t>
  </si>
  <si>
    <t>Rezerwy na zobowiązania</t>
  </si>
  <si>
    <t xml:space="preserve">Zobowiązania długoterminowe </t>
  </si>
  <si>
    <t>Zobowiązania krótkoterminowe</t>
  </si>
  <si>
    <t>Rozliczenia międzyokresowe</t>
  </si>
  <si>
    <t>Pasywa razem</t>
  </si>
  <si>
    <t>Przepływy środków pieniężnych z działalności operacyjnej</t>
  </si>
  <si>
    <t>Korekty razem</t>
  </si>
  <si>
    <t>Przepływy środków pieniężnych z działalności inwestycyjnej</t>
  </si>
  <si>
    <t>Wpływy</t>
  </si>
  <si>
    <t xml:space="preserve">Wydatki </t>
  </si>
  <si>
    <t>Przepływ  środków pieniężnych z działalności finansowej</t>
  </si>
  <si>
    <t>Środki pieniężne na początek okresu</t>
  </si>
  <si>
    <t>Wynik finansowy brutto</t>
  </si>
  <si>
    <t>Wynik finansowy netto</t>
  </si>
  <si>
    <t>Wynik finansowy na dzialałalności gospodarczej</t>
  </si>
  <si>
    <t>Wynik na dzialalnosci operacyjnej</t>
  </si>
  <si>
    <t>Wynik na sprzedaży</t>
  </si>
  <si>
    <t>Środki trwałe</t>
  </si>
  <si>
    <t>Środki trwałe w budowie</t>
  </si>
  <si>
    <t>w tym przychody z linii objętej projektem</t>
  </si>
  <si>
    <t>w tym koszty eksploatacji taboru objętego projektem</t>
  </si>
  <si>
    <t>Zyski (straty)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</si>
  <si>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</si>
  <si>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</si>
  <si>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</si>
  <si>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</si>
  <si>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krotkoterminowych, z wyjątkiem pożyczek i kredytów</t>
  </si>
  <si>
    <t xml:space="preserve">Zmiana stanu rozliczeń międzyokresowych </t>
  </si>
  <si>
    <t>Przepływy pieniężne netto z działalności operacyjnej</t>
  </si>
  <si>
    <t>Przepływy pieniężne netto z działalności inwestycyjnej</t>
  </si>
  <si>
    <t>Dokapitalizowanie</t>
  </si>
  <si>
    <t>Kredyty i pożyczki</t>
  </si>
  <si>
    <t>Wpływy z tytułu emisji obligacji</t>
  </si>
  <si>
    <t>Inne wpływy finansowe</t>
  </si>
  <si>
    <t>Nabycie udziałów własnych</t>
  </si>
  <si>
    <t>Dywidendy</t>
  </si>
  <si>
    <t>Spłaty kredytów i pożyczek</t>
  </si>
  <si>
    <t>Wykup dłużnych papierów wartościowych</t>
  </si>
  <si>
    <t>Płatności zobowiązań z tytułu umów leasingu finansowego</t>
  </si>
  <si>
    <t>Inne wydatki finansowe</t>
  </si>
  <si>
    <t>Przepływy pieniężne netto z działalności finansowej</t>
  </si>
  <si>
    <t>Przepływy pieniężne netto, razem</t>
  </si>
  <si>
    <t>Środki pieniężne na koniec okresu</t>
  </si>
  <si>
    <t>Koszty eksploatacyjne</t>
  </si>
  <si>
    <t>Norma silnika</t>
  </si>
  <si>
    <t>Regulacja</t>
  </si>
  <si>
    <t>EURO I</t>
  </si>
  <si>
    <t>Dyrektywa 91/542/EEC, nowy tekst Załącznika I pkt. 6.2.1 wiersz B</t>
  </si>
  <si>
    <t>EURO II</t>
  </si>
  <si>
    <t>EURO III</t>
  </si>
  <si>
    <t>Dyrektywa 1999/96/WE, Załącznik I, pkt 6.2.1, wiersz A</t>
  </si>
  <si>
    <t>EURO IV</t>
  </si>
  <si>
    <t>Dyrektywa 1999/96/WE, Załącznik I, pkt 6.2.1, wiersz B1</t>
  </si>
  <si>
    <t>EURO V</t>
  </si>
  <si>
    <t>Dyrektywa 1999/96/WE, Załącznik I, pkt 6.2.1, wiersz B2</t>
  </si>
  <si>
    <t>EURO VI</t>
  </si>
  <si>
    <t>Rozporządzenie (WE) 595/2009, Załącznik I</t>
  </si>
  <si>
    <t>HC [g/kWh]</t>
  </si>
  <si>
    <t>NOx [g/kWh]</t>
  </si>
  <si>
    <t>PM [g/kWh]</t>
  </si>
  <si>
    <t>1992-10.1996</t>
  </si>
  <si>
    <t>10.1996-10.2000</t>
  </si>
  <si>
    <t>10.2000-10.2005</t>
  </si>
  <si>
    <t>10.2005-10.2008</t>
  </si>
  <si>
    <t>10.2008-12.2012</t>
  </si>
  <si>
    <t>2013+</t>
  </si>
  <si>
    <t>Zgodnie z parametrami silnika</t>
  </si>
  <si>
    <t>[g/KWh]</t>
  </si>
  <si>
    <t>CO2</t>
  </si>
  <si>
    <t>Autobus - z silnikiem wysokoprężnym</t>
  </si>
  <si>
    <t>Wartość energetyczna Diesla</t>
  </si>
  <si>
    <t>MJ/dm3</t>
  </si>
  <si>
    <t>1 kWh</t>
  </si>
  <si>
    <t>=</t>
  </si>
  <si>
    <t>MJ</t>
  </si>
  <si>
    <t>kWh/dm3</t>
  </si>
  <si>
    <t>Autobus - z silnikiem iskrowym zasilany CNG</t>
  </si>
  <si>
    <t>Wartość energetyczna CNG</t>
  </si>
  <si>
    <t>MJ/Nm3</t>
  </si>
  <si>
    <t>kWh/Nm3</t>
  </si>
  <si>
    <r>
      <t>Współczynniki emisji 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na kg paliwa</t>
    </r>
  </si>
  <si>
    <t>Olej napędowy</t>
  </si>
  <si>
    <r>
      <t>kg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/ kg paliwa</t>
    </r>
  </si>
  <si>
    <t>Gestość oleju napędowego</t>
  </si>
  <si>
    <t>kg/dm3</t>
  </si>
  <si>
    <t>Wartości obliczone  na podstawie współczynników emisyjności oraz gęstości</t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</si>
  <si>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kg/dm3</t>
    </r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</si>
  <si>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kg/Nm3</t>
    </r>
  </si>
  <si>
    <t>Norma emisji spalin</t>
  </si>
  <si>
    <t>spalanie</t>
  </si>
  <si>
    <r>
      <t>dm</t>
    </r>
    <r>
      <rPr>
        <sz val="12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 100 km</t>
    </r>
  </si>
  <si>
    <t>przeliczenie na kWh energii</t>
  </si>
  <si>
    <t>kWh/km</t>
  </si>
  <si>
    <t>Wskaźnik cieplarniany</t>
  </si>
  <si>
    <t>Niska emisja</t>
  </si>
  <si>
    <r>
      <t>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[g/km]</t>
    </r>
  </si>
  <si>
    <t>HC  [g/km]</t>
  </si>
  <si>
    <t>NOx  [g/km]</t>
  </si>
  <si>
    <t>PM  [g/km]</t>
  </si>
  <si>
    <r>
      <t>SO</t>
    </r>
    <r>
      <rPr>
        <b/>
        <sz val="9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 [g/km]</t>
    </r>
  </si>
  <si>
    <t>Autobus z silnikiem elektrycznym</t>
  </si>
  <si>
    <t>zużycie energii na 100 km</t>
  </si>
  <si>
    <t>kWh/ 100 km</t>
  </si>
  <si>
    <t>zużycie energii na 1 km</t>
  </si>
  <si>
    <t>HC [g/km]</t>
  </si>
  <si>
    <t xml:space="preserve">CO2 koszty jednostkowe </t>
  </si>
  <si>
    <t>NOx</t>
  </si>
  <si>
    <t>PM2.5  obszar miejski</t>
  </si>
  <si>
    <t>Hałas - koszty jednostkowe na pojkm HV dzień</t>
  </si>
  <si>
    <t>PLN/t</t>
  </si>
  <si>
    <t>PLN/pojkm</t>
  </si>
  <si>
    <t>Przepływy różnicowe</t>
  </si>
  <si>
    <t>Koszty utrzymania</t>
  </si>
  <si>
    <t>Wymiana baterii</t>
  </si>
  <si>
    <t>Udostępnienie energii na stacjach ładowania</t>
  </si>
  <si>
    <t>PLN/rok</t>
  </si>
  <si>
    <t>Nakłady odtworzeniowe na baterie</t>
  </si>
  <si>
    <t>Nazwa dokumentu</t>
  </si>
  <si>
    <t>Data uchwalenia</t>
  </si>
  <si>
    <t>Nr uchwały</t>
  </si>
  <si>
    <t>t/km</t>
  </si>
  <si>
    <t>CO2 autobusy stare</t>
  </si>
  <si>
    <t>CO2 autobusy nowe</t>
  </si>
  <si>
    <t>Koszty jednostkowe CO2</t>
  </si>
  <si>
    <t>CO2 wariant bezinwestycyjny</t>
  </si>
  <si>
    <t>CO2 wariant inwestycyjny</t>
  </si>
  <si>
    <t>CO2 różnicowo</t>
  </si>
  <si>
    <t>Emisje niskie</t>
  </si>
  <si>
    <t>Koszty jednostkowe NOX</t>
  </si>
  <si>
    <t>Koszty jednostkowe PM2.5</t>
  </si>
  <si>
    <t>Emisje wariant bezinwestycyjny</t>
  </si>
  <si>
    <t>Emisje wariant inwestycyjny</t>
  </si>
  <si>
    <t>Emisje różnicowo</t>
  </si>
  <si>
    <t>Hałas</t>
  </si>
  <si>
    <t>Redukcja hałasu w przypadku autobusów elektrycznych</t>
  </si>
  <si>
    <t>Koszty jednostkowe hałas</t>
  </si>
  <si>
    <t>Hałas wariant bezinwestycyjny</t>
  </si>
  <si>
    <t>Hałas wariant inwestycyjny</t>
  </si>
  <si>
    <t>Hałas różnicowo</t>
  </si>
  <si>
    <t>PLN/KM</t>
  </si>
  <si>
    <t>Nakłady inwestycyjne do analizy ekonomicznej po korekcie fiskalnej</t>
  </si>
  <si>
    <t>Przepływy niezdyskontowane</t>
  </si>
  <si>
    <t>Przepływy zdyskontowane</t>
  </si>
  <si>
    <t>FNPV/C</t>
  </si>
  <si>
    <t>FRR/C</t>
  </si>
  <si>
    <t>stary tabor</t>
  </si>
  <si>
    <t>nowy tabor</t>
  </si>
  <si>
    <t>Przychody z reklam na 1 autobus rocznie</t>
  </si>
  <si>
    <t>Przychody z udostępnienia energii</t>
  </si>
  <si>
    <t>Przepływy skumulowane do IRR</t>
  </si>
  <si>
    <t>Ostatni rok analizy</t>
  </si>
  <si>
    <t>Nakłady inwestycyjne po korekcie</t>
  </si>
  <si>
    <t>Nakłady odtworzeniowe po korekcie</t>
  </si>
  <si>
    <t>Koszty eksploatacji po korekcie</t>
  </si>
  <si>
    <t>Efekty zewnętrzne</t>
  </si>
  <si>
    <t>ENPV</t>
  </si>
  <si>
    <t>NPV</t>
  </si>
  <si>
    <t>ERR</t>
  </si>
  <si>
    <t>B/C</t>
  </si>
  <si>
    <t>Wartości bazowe</t>
  </si>
  <si>
    <t>Parametry finansowania</t>
  </si>
  <si>
    <t>Oprocentowanie kredytu roczne całkowite (RRSO)</t>
  </si>
  <si>
    <t>Wkład własny</t>
  </si>
  <si>
    <t>Zaciągnięcia kredytu</t>
  </si>
  <si>
    <t>Spłaty kredytu</t>
  </si>
  <si>
    <t>Finansowanie</t>
  </si>
  <si>
    <t>Kredyt</t>
  </si>
  <si>
    <t>Pozostały wkład własny</t>
  </si>
  <si>
    <t>Saldo otwarcia kredytu</t>
  </si>
  <si>
    <t>Saldo zamknięcia kredytu</t>
  </si>
  <si>
    <t>Trwałość projektu</t>
  </si>
  <si>
    <t>Wydatki</t>
  </si>
  <si>
    <t>Saldo przepływów</t>
  </si>
  <si>
    <t>Saldo przepływów skumulowanych</t>
  </si>
  <si>
    <t>Dopłata  z rekompensaty i innych źródeł</t>
  </si>
  <si>
    <t>FNPV/K</t>
  </si>
  <si>
    <t>FRR/K</t>
  </si>
  <si>
    <t>Weryfikacja rekompensaty</t>
  </si>
  <si>
    <t>Ruch pasażerski +15%</t>
  </si>
  <si>
    <t>Ruch pasażerski -15%</t>
  </si>
  <si>
    <t>Ruch pasażerski +25%</t>
  </si>
  <si>
    <t>Ruch pasażerski -25%</t>
  </si>
  <si>
    <t>Nakłady inwestycyjne +15%</t>
  </si>
  <si>
    <t>Nakłady inwestycyjne -15%</t>
  </si>
  <si>
    <t>Nakłady inwestycyjne +25%</t>
  </si>
  <si>
    <t>Nakłady inwestycyjne -25%</t>
  </si>
  <si>
    <t>Koszty utrzymania i eksploatacji +15%</t>
  </si>
  <si>
    <t>Koszty utrzymania i eksploatacji -15%</t>
  </si>
  <si>
    <t>Koszty utrzymania i eksploatacji +25%</t>
  </si>
  <si>
    <t>Koszty utrzymania i eksploatacji -25%</t>
  </si>
  <si>
    <t>Ruch pasażerski -15% i nakłady inwestycyjne +15%</t>
  </si>
  <si>
    <t>Ruch pasażerski -15% i koszty operacyjne i utrzymania +15%</t>
  </si>
  <si>
    <t>Koszty utrzymania i eksploatacji +15% i nakłady inwestycyjne +15%</t>
  </si>
  <si>
    <t>Ruch pasażerski -15%, nakłady inwestycyjne +15% i koszty operacyjne i utrzymania +15% i globalne zróżnicowanie ekonomicznych kosztów jednostkowych -15%</t>
  </si>
  <si>
    <t>Dochody projektu +15%</t>
  </si>
  <si>
    <t>Dochody projektu -15%</t>
  </si>
  <si>
    <t>Dochody projektu +25%</t>
  </si>
  <si>
    <t>Dochody projektu -25%</t>
  </si>
  <si>
    <t>Dochody projektu +15% i nakłady inwestycyjne +15%</t>
  </si>
  <si>
    <t>Dochody projektu -15% i nakłady inwestycyjne +15%</t>
  </si>
  <si>
    <t>Dochody projektu +15% i nakłady inwestycyjne -15%</t>
  </si>
  <si>
    <t>Dochody projektu -15% i nakłady inwestycyjne -15%</t>
  </si>
  <si>
    <t>Dochody projektu +15% i koszty operacyjne i utrzymania +15%</t>
  </si>
  <si>
    <t>Dochody projektu -15% i koszty operacyjne i utrzymania +15%</t>
  </si>
  <si>
    <t>Dochody projektu +15% i koszty operacyjne i utrzymania -15%</t>
  </si>
  <si>
    <t>Dochody projektu -15% i koszty operacyjne i utrzymania -15%</t>
  </si>
  <si>
    <t>w tym nakłady niekwalifikowane</t>
  </si>
  <si>
    <t>Zaciąnięcia kredytu</t>
  </si>
  <si>
    <t>Pierwszy rok spłaty kredytu</t>
  </si>
  <si>
    <t>rok</t>
  </si>
  <si>
    <t>Liczba lat spłaty kredytu</t>
  </si>
  <si>
    <t>Ruch pasażerski +1%</t>
  </si>
  <si>
    <t>Dochody projektu +1%</t>
  </si>
  <si>
    <t>Nakłady inwestycyjne +1%</t>
  </si>
  <si>
    <t>Koszty utrzymania i eksploatacji +1%</t>
  </si>
  <si>
    <t>Zmiana o</t>
  </si>
  <si>
    <t>Wartość bazowa</t>
  </si>
  <si>
    <t>Wartość progowa</t>
  </si>
  <si>
    <t>Zakup 10 autobusów elektrycznych do obsługi komunikacji publicznej</t>
  </si>
  <si>
    <t>PLN netto</t>
  </si>
  <si>
    <t>PLN netto/os</t>
  </si>
  <si>
    <t>Procent pracy przewozowej na trasie wykonywanej przez autobusy podlegające wymianie w ramach projektu</t>
  </si>
  <si>
    <t>l/wozkm</t>
  </si>
  <si>
    <t>PLN/litr</t>
  </si>
  <si>
    <t>pozostałe koszty materiałów i energii</t>
  </si>
  <si>
    <t>Typ 1</t>
  </si>
  <si>
    <t>Typ 2</t>
  </si>
  <si>
    <t>Typ 3</t>
  </si>
  <si>
    <t>koszt paliwa</t>
  </si>
  <si>
    <t>Typy autobusów podlegających wymianie</t>
  </si>
  <si>
    <t>Typy autobusów zakupywanych</t>
  </si>
  <si>
    <t>Typ A</t>
  </si>
  <si>
    <t>Typ B</t>
  </si>
  <si>
    <t>Typ C</t>
  </si>
  <si>
    <t>zużycie energii w trakcie jazdy</t>
  </si>
  <si>
    <t>koszt energii</t>
  </si>
  <si>
    <t>PLN/kWh</t>
  </si>
  <si>
    <t>Docelowy procent pracy przewozowej na trasie wykonywanej przez autobusy zakupione w projekcie</t>
  </si>
  <si>
    <t>NMVOC/HC</t>
  </si>
  <si>
    <t>Autobusy stare</t>
  </si>
  <si>
    <t>Autobusy nowe</t>
  </si>
  <si>
    <t>t/wozkm</t>
  </si>
  <si>
    <t>HC</t>
  </si>
  <si>
    <t>NOX</t>
  </si>
  <si>
    <t>PM</t>
  </si>
  <si>
    <t>autobusy stare</t>
  </si>
  <si>
    <t>autobusy nowe</t>
  </si>
  <si>
    <t>Przychody z biletów na linii</t>
  </si>
  <si>
    <t>Przychody z reklam na autobusach objętych projektem</t>
  </si>
  <si>
    <t>Liczba pasażerów na linii rocznie</t>
  </si>
  <si>
    <t>TU NALEŻY UMIEŚCIĆ AKTUALNĄ WIELOLETNIĄ PROGNOZĘ FINANSOWĄ Z WYSZCZEGÓLNIENIEM ORAZ WYRÓŻNIENIEM WYDATKÓW NA PROJEKT I/LUB REKOMPENSATY DLA OPERATORA</t>
  </si>
  <si>
    <t>Dotacje</t>
  </si>
  <si>
    <t>w tym na projekt</t>
  </si>
  <si>
    <t>Jednostkowe koszty ekonomiczne +15%</t>
  </si>
  <si>
    <t>Jednostkowe koszty ekonomiczne -15%</t>
  </si>
  <si>
    <t>Jednostkowe koszty ekonomiczne +25%</t>
  </si>
  <si>
    <t>Jednostkowe koszty ekonomiczne -25%</t>
  </si>
  <si>
    <t>Jednostkowe koszty ekonomiczne +1%</t>
  </si>
  <si>
    <t>Zastrzeżenia:</t>
  </si>
  <si>
    <t>Pozostałe przychody z linii</t>
  </si>
  <si>
    <t>wariant bezinwestycyjny</t>
  </si>
  <si>
    <t>wariant inwestycyjny</t>
  </si>
  <si>
    <t>Nowy tabor - odtworzenie</t>
  </si>
  <si>
    <t>TU NALEŻY UMIEŚCIĆ KALKULACJĘ WERYFIKACJI BRAKU NADMIERNEJ REKOMPENSATY ZGODNIE Z ROZPORZĄDZENIEM 1370/2007 ORAZ WYTYCZNYMI W ZAKRESIE DOFINANSOWANIA Z PROGRAMÓW OPERACYJNYCH PODMIOTÓW REALIZUJĄCYCH OBOWIĄZEK ŚWIADCZENIA USŁUG PUBLICZNYCH W TRANSPORCIE ZBIOROWYM</t>
  </si>
  <si>
    <t>Uwaga: aby obliczyć wartości progowe należy uruchomić funkcję Szukaj Wyniku / Goal Seek z parametrami:</t>
  </si>
  <si>
    <t>Ustaw komórkę (NPV)</t>
  </si>
  <si>
    <t>Zmieniając komórkę</t>
  </si>
  <si>
    <t>D12 / E12 / F12</t>
  </si>
  <si>
    <t>C4</t>
  </si>
  <si>
    <t>C5</t>
  </si>
  <si>
    <t>C6</t>
  </si>
  <si>
    <t>C7</t>
  </si>
  <si>
    <t>Wskaźnik redukcji emisji = ’NPV emisji w niskich warstwach atmosfery oraz CO2 w W0’ / ‘NPV emisji niskich warstwach atmosfery oraz CO2 w WI’</t>
  </si>
  <si>
    <t>Koszty jednostkowe NMVOC/HC</t>
  </si>
  <si>
    <t>NPV emisji w niskich warstwach atmosfery oraz CO2 w W0</t>
  </si>
  <si>
    <t>NPV emisji niskich warstwach atmosfery oraz CO2 w WI</t>
  </si>
  <si>
    <t>Czy rok uwzgledniony w wyliczeniu wskaźnika redukcji emisji</t>
  </si>
  <si>
    <t>t</t>
  </si>
  <si>
    <t>Przykładowy szablon Analizy Kosztów i Korzyści</t>
  </si>
  <si>
    <t>Koszty CO2</t>
  </si>
  <si>
    <t>https://www.cupt.gov.pl/strefa-beneficjenta/wdrazanie-projektow/analiza-kosztow-i-korzysci/narzedzia/tablice-kosztow-jednostkowych-do-wykorzystania-w-analizach-kosztow-i-korzysci/</t>
  </si>
  <si>
    <t>Wyszczególninie</t>
  </si>
  <si>
    <r>
      <rPr>
        <b/>
        <sz val="11"/>
        <color theme="1"/>
        <rFont val="Calibri"/>
        <family val="2"/>
        <charset val="238"/>
        <scheme val="minor"/>
      </rPr>
      <t>Wartości współczynnika emisji CO2 na kg paliwa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</si>
  <si>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rPr>
        <b/>
        <sz val="11"/>
        <color theme="1"/>
        <rFont val="Calibri"/>
        <family val="2"/>
        <charset val="238"/>
        <scheme val="minor"/>
      </rPr>
      <t>Wartości energetyczne dla różnych rodzajów paliw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</si>
  <si>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t xml:space="preserve">Wskaźniki emisji CO2 w [g/kWh] dla odbiorców końcowych sieciowej energii elektrycznej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"Zmiany klimatu (GHG) samochody".</t>
    </r>
  </si>
  <si>
    <t>LPG</t>
  </si>
  <si>
    <r>
      <rPr>
        <b/>
        <sz val="11"/>
        <color theme="1"/>
        <rFont val="Calibri"/>
        <family val="2"/>
        <charset val="238"/>
        <scheme val="minor"/>
      </rPr>
      <t>Parametry określające gestość paliwa</t>
    </r>
    <r>
      <rPr>
        <i/>
        <sz val="11"/>
        <color theme="1"/>
        <rFont val="Calibri"/>
        <family val="2"/>
        <charset val="238"/>
        <scheme val="minor"/>
      </rPr>
      <t xml:space="preserve"> 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</si>
  <si>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t>Gestość LPG</t>
  </si>
  <si>
    <t>Autobus - z silnikiem napędzany LPG</t>
  </si>
  <si>
    <t>Analiza finansowa</t>
  </si>
  <si>
    <t>Wskaźnik redukcji emisji</t>
  </si>
  <si>
    <t xml:space="preserve">Wskaźniki emisyjności - PROG-FENX.029.R </t>
  </si>
  <si>
    <t>Harmonogram ponoszenia nakładów na koszty pośrednie</t>
  </si>
  <si>
    <t>Nakłady na koszty pośrednie</t>
  </si>
  <si>
    <t xml:space="preserve">Nakłady inwestycyjne      </t>
  </si>
  <si>
    <t>Zakup i wdrożenie teleinformatycznego systemu zarządzania ładowaniem</t>
  </si>
  <si>
    <t>Harmonogram ponoszenia nakładów na system teleinformatyczny</t>
  </si>
  <si>
    <t>Nakłady na system teleinformatyczny</t>
  </si>
  <si>
    <t xml:space="preserve">Dodatkowe gwarancje w umowie z dostawcą </t>
  </si>
  <si>
    <t>Harmonogram ponoszenia nakładów na dodatkowe gwarancje</t>
  </si>
  <si>
    <t>Nakłady na dodatkowe gwarancje</t>
  </si>
  <si>
    <t>Koszty pakietu usługowego</t>
  </si>
  <si>
    <t>Harmonogram ponoszenia nakładów na pakiet usługowy</t>
  </si>
  <si>
    <t>Nakłady na pakiet usługowy</t>
  </si>
  <si>
    <t>Harmonogram ponoszenia nakładów na OZE</t>
  </si>
  <si>
    <t>Zakup i montaż infrastruktury do produkcji energii z OZE netto</t>
  </si>
  <si>
    <t>Koszty pośrednie netto</t>
  </si>
  <si>
    <t>Pozostała infrastruktura, w tym ładowanie/tankowanie - odtworzenie</t>
  </si>
  <si>
    <t>Całkowity przychód z biletów w 2024 r. dla systemu biletowego</t>
  </si>
  <si>
    <t>Liczba pasażerów przewieziona w 2024 r. dla systemu biletowego</t>
  </si>
  <si>
    <t>Przychód z biletów na 1 pasażera w 2024 r.</t>
  </si>
  <si>
    <t>Inne przychody z linii</t>
  </si>
  <si>
    <t>Harmonogram ponoszenia nakładów pozostałych</t>
  </si>
  <si>
    <t>Nakłady pozostałe</t>
  </si>
  <si>
    <t>Koszt zakupu 1 ładowarki/stacji tankowania netto</t>
  </si>
  <si>
    <t>Koszt instalacji 1 ładowarki/stacji tankowania netto</t>
  </si>
  <si>
    <t>Liczba ładowarek/stacji tankowania</t>
  </si>
  <si>
    <t>Praca eksploatacyjna w ciągu roku autobusów wycofywanych</t>
  </si>
  <si>
    <t>na potrzeby naboru w działaniu FENX.03.01 na autobusy zeroemisyjne i trolejbusy w projektach wymiany 1:1</t>
  </si>
  <si>
    <t xml:space="preserve">Zakup nowych baterii do już użytkowanych autobusów </t>
  </si>
  <si>
    <t>Harmonogram ponoszenia nakładów na dodatkowe baterie</t>
  </si>
  <si>
    <t>Nakłady na dodatkowe baterie</t>
  </si>
  <si>
    <t>Nakłady na OZE</t>
  </si>
  <si>
    <t>Liczba nowych autobusów w esksploatacji</t>
  </si>
  <si>
    <t>Pozostałe nakłady zidentyfikowane przez Wnioskodawcę: [jakie?]</t>
  </si>
  <si>
    <t>Inne nakłady netto:</t>
  </si>
  <si>
    <t>Rachunek zysków i strat - Wnioskodawca z uwzględnieniem projektu</t>
  </si>
  <si>
    <t>Rachunek przepływów pieniężnych - Wnioskodawca z uwzględnieniem projektu</t>
  </si>
  <si>
    <t>Bilans - Wnioskodawca z uwzględnieniem projektu</t>
  </si>
  <si>
    <t>Komentarz: przychody pomniejszone o koszty udostępnienia energii</t>
  </si>
  <si>
    <t>Komentarz: dla projektów, gdzie działalność podlega rekompensacie zgodnie z rozporządzeniem 1370/2007, dodatnie wskaźniki /K nie uniemożliwiają otrzymania dofinansowania</t>
  </si>
  <si>
    <t>Przychody w ostatnim roku analizy</t>
  </si>
  <si>
    <t>Koszty eksploatacyjne w ostatnim roku analizy</t>
  </si>
  <si>
    <t>Średnia wartość nakładów odtworzeniowych z okresu eksploatacji</t>
  </si>
  <si>
    <t>Przepływy w pozostałym okresie eksploatacji</t>
  </si>
  <si>
    <t>Korzyści w ostatnim roku analizy</t>
  </si>
  <si>
    <t>Źródło: Tablice kosztów jednostkowych do wykorzystania w analizach kosztów i korzyści. Wersja dla projektów z perspektywy 2021-2027 (aktualizacja 23.05.2025 - ceny na koniec 2024 r., prognozy makroekonomiczne z 05.2025)</t>
  </si>
  <si>
    <t>Okres użyteczności zakupionego taboru</t>
  </si>
  <si>
    <t>Przedmiotowy arkusz prezentuje wymagany sposób kalkulacji wskaźników ekonomicznych i finansowych.
Na potrzeby przykładowego szablonu założono projekt polegający na prostej wymianie autobusów spalinowych na zeroemisyjne (1:1), przy założeniu braku zmiany pojemności autobusów, tras i częstotliwości kursowania. Jeżeli projekt zakłada materialną zmianę któregoś z ww. parametrów oferty przewozowej transportu publicznego, należy dla projektu wykonać prognozę popytu zgodnie z Niebieską Księgą Sektor Transportu Publicznego (2023) i uwzględnić w analizie wpływ projektu na przewozy pasażerskie w mieście, w tym przejęcie pasażerów z transportu indywidualnego.
Podane na żółto wartości są w pełni abstrakcyjne, wstawione jedynie aby arkusz ulegał przeliczeniu. Wszystkie pola zaznaczone na żółto należy zastąpić założeniami właściwymi dla danego projektu. Jeżeli arkusz nie odpowiada specyfice projektu, należy nanieść odpowiednie zmiany w konstrukcji arkusza (w tym w formułach). Za wprowadzone zmiany w arkuszu oraz przyjęte założenia odpowiada Wnioskodawca. Będą one podlegały weryfikacji w procesie oceny wniosków.                                                                                                                                                                                                                                                                                                                                      
Wszystkie wartości pieniężne są netto, chyba że wprost oznaczono inaczej.                                                                                                                                                                                                                                                                                                                                                                                                                                                                                                                                                                                                                                                     
CUPT zastrzega sobie prawo do modyfikacji szablonu. W takim przypadku wraz z kolejną wersją szablonu na stronie internetowej CUPT zostanie umieszczona informacja o charakterze dokonanych zmian.</t>
  </si>
  <si>
    <t>Komentarz: założenia specyficzne dla projektu należy opisać w studium wraz z podaniem źródła</t>
  </si>
  <si>
    <t>Komentarz: w przykładowym szablonie akk nie uwzględniono korzyści z zakupu dodatkowych baterii. Ewentualne korzyści (np. wydłużenie zasięgu już eksploatowanych autobusów) można uwzględnić, zmieniając wyliczenia w szablonie zgodnie z ogólnie przyjętą metodyką AKK.</t>
  </si>
  <si>
    <t>Komentarz: dla uproszczenia wszędzie pojawiają się autobusy, natomiast pozycje dotyczą również trolejbusów</t>
  </si>
  <si>
    <t>Komentarz: jeżeli np. w 2027 Wnioskodawca odbierze 5 autobusów to należy wpisać 5, w 2028 odbierze kolejnych 5 to należy wpisać 10 (5+5) w kolejnym roku również 10</t>
  </si>
  <si>
    <t>Komentarz: w tej pozycji można uwzględnić wymianę ładowarek starszej generacji do autobusów elektrycznych, przy założeniu że wycofywane ładowarki nie będą  dalej eksploatowane</t>
  </si>
  <si>
    <r>
      <t xml:space="preserve">Analiza neutralności klimatycznej </t>
    </r>
    <r>
      <rPr>
        <i/>
        <sz val="11"/>
        <color theme="1"/>
        <rFont val="Calibri"/>
        <family val="2"/>
        <charset val="238"/>
      </rPr>
      <t>(rozdział 3.2.2 Wytycznych KE)</t>
    </r>
  </si>
  <si>
    <t xml:space="preserve">Wariant inwestycyjny </t>
  </si>
  <si>
    <t>Emisje względne powinny być równe średniorocznym różnicowym zmianom CO2 w analizie kosztów i korzyści w okresie eksploatacji</t>
  </si>
  <si>
    <t>Wielkość emisji bezwzględnej [tCO2]</t>
  </si>
  <si>
    <t>Średnioroczne emisje różnicowe</t>
  </si>
  <si>
    <t>Wielkość emisji względnej [tCO2]</t>
  </si>
  <si>
    <t>Emisje bezwzględne powinny być równe średniorocznym emisjom w WI w okresie eksploatacji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</si>
</sst>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"/>
    <numFmt numFmtId="165" formatCode="#,##0.000"/>
    <numFmt numFmtId="166" formatCode="#,##0.0000\ [$PLN];\-#,##0.0000\ [$PLN]"/>
    <numFmt numFmtId="167" formatCode="0.000%"/>
    <numFmt numFmtId="168" formatCode="0.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12" fillId="0" borderId="0" applyNumberFormat="0" applyFill="0" applyBorder="0" applyAlignment="0" applyProtection="0"/>
    <xf numFmtId="0" fontId="20" fillId="3" borderId="7" applyNumberFormat="0" applyAlignment="0" applyProtection="0"/>
  </cellStyleXfs>
  <cellXfs count="125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/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9" fontId="0" fillId="2" borderId="0" xfId="0" applyNumberFormat="1" applyFill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2" fillId="0" borderId="0" xfId="5"/>
    <xf numFmtId="0" fontId="0" fillId="0" borderId="0" xfId="0" quotePrefix="1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0" xfId="0" applyNumberFormat="1"/>
    <xf numFmtId="0" fontId="5" fillId="0" borderId="3" xfId="0" applyFont="1" applyBorder="1" applyAlignment="1">
      <alignment horizontal="center"/>
    </xf>
    <xf numFmtId="0" fontId="0" fillId="2" borderId="0" xfId="0" applyFill="1" applyAlignment="1">
      <alignment horizontal="left" indent="1"/>
    </xf>
    <xf numFmtId="0" fontId="11" fillId="0" borderId="0" xfId="0" applyFont="1" applyAlignment="1">
      <alignment horizontal="left" indent="3"/>
    </xf>
    <xf numFmtId="3" fontId="0" fillId="0" borderId="0" xfId="0" applyNumberFormat="1" applyAlignment="1">
      <alignment horizontal="left" indent="1"/>
    </xf>
    <xf numFmtId="164" fontId="0" fillId="0" borderId="0" xfId="0" applyNumberFormat="1"/>
    <xf numFmtId="0" fontId="11" fillId="0" borderId="0" xfId="0" applyFont="1"/>
    <xf numFmtId="4" fontId="13" fillId="0" borderId="0" xfId="0" applyNumberFormat="1" applyFont="1"/>
    <xf numFmtId="9" fontId="8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wrapText="1"/>
    </xf>
    <xf numFmtId="0" fontId="4" fillId="0" borderId="0" xfId="0" applyFont="1"/>
    <xf numFmtId="165" fontId="0" fillId="2" borderId="0" xfId="0" applyNumberFormat="1" applyFill="1"/>
    <xf numFmtId="9" fontId="0" fillId="0" borderId="0" xfId="0" applyNumberFormat="1" applyAlignment="1">
      <alignment horizontal="left" indent="1"/>
    </xf>
    <xf numFmtId="0" fontId="18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/>
    <xf numFmtId="9" fontId="0" fillId="2" borderId="0" xfId="1" applyFont="1" applyFill="1"/>
    <xf numFmtId="0" fontId="20" fillId="3" borderId="7" xfId="6"/>
    <xf numFmtId="166" fontId="20" fillId="3" borderId="7" xfId="6" applyNumberFormat="1" applyAlignment="1" applyProtection="1">
      <alignment horizontal="center" vertical="center" wrapText="1"/>
      <protection hidden="1"/>
    </xf>
    <xf numFmtId="0" fontId="20" fillId="3" borderId="7" xfId="6" applyAlignment="1">
      <alignment horizontal="center"/>
    </xf>
    <xf numFmtId="3" fontId="0" fillId="2" borderId="0" xfId="0" applyNumberFormat="1" applyFill="1"/>
    <xf numFmtId="4" fontId="21" fillId="4" borderId="0" xfId="0" applyNumberFormat="1" applyFont="1" applyFill="1"/>
    <xf numFmtId="0" fontId="3" fillId="0" borderId="0" xfId="0" applyFont="1" applyAlignment="1">
      <alignment vertical="center" wrapText="1"/>
    </xf>
    <xf numFmtId="0" fontId="0" fillId="5" borderId="0" xfId="0" applyFill="1"/>
    <xf numFmtId="0" fontId="19" fillId="5" borderId="0" xfId="0" applyFont="1" applyFill="1"/>
    <xf numFmtId="0" fontId="11" fillId="5" borderId="0" xfId="0" applyFont="1" applyFill="1"/>
    <xf numFmtId="0" fontId="0" fillId="2" borderId="0" xfId="0" applyFill="1" applyAlignment="1">
      <alignment horizontal="center"/>
    </xf>
    <xf numFmtId="0" fontId="12" fillId="0" borderId="0" xfId="5" applyAlignme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0" xfId="0" applyNumberFormat="1"/>
    <xf numFmtId="4" fontId="0" fillId="6" borderId="0" xfId="0" applyNumberFormat="1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68" fontId="0" fillId="6" borderId="0" xfId="0" applyNumberFormat="1" applyFill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2" fontId="0" fillId="6" borderId="1" xfId="0" applyNumberFormat="1" applyFill="1" applyBorder="1" applyAlignment="1">
      <alignment horizontal="center"/>
    </xf>
    <xf numFmtId="168" fontId="0" fillId="0" borderId="0" xfId="0" applyNumberFormat="1"/>
    <xf numFmtId="168" fontId="5" fillId="0" borderId="0" xfId="0" applyNumberFormat="1" applyFont="1"/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" fillId="6" borderId="1" xfId="0" applyFont="1" applyFill="1" applyBorder="1"/>
    <xf numFmtId="9" fontId="0" fillId="2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5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9" fontId="23" fillId="0" borderId="0" xfId="0" applyNumberFormat="1" applyFont="1"/>
    <xf numFmtId="0" fontId="5" fillId="5" borderId="0" xfId="0" applyFont="1" applyFill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 vertical="center"/>
    </xf>
    <xf numFmtId="10" fontId="0" fillId="0" borderId="0" xfId="1" applyNumberFormat="1" applyFont="1" applyFill="1"/>
    <xf numFmtId="167" fontId="0" fillId="0" borderId="0" xfId="1" applyNumberFormat="1" applyFont="1" applyFill="1"/>
    <xf numFmtId="10" fontId="0" fillId="0" borderId="1" xfId="0" applyNumberFormat="1" applyBorder="1"/>
    <xf numFmtId="10" fontId="0" fillId="0" borderId="1" xfId="1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 indent="1"/>
    </xf>
    <xf numFmtId="2" fontId="5" fillId="0" borderId="1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2" fillId="0" borderId="0" xfId="5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7" fontId="0" fillId="2" borderId="0" xfId="1" applyNumberFormat="1" applyFont="1" applyFill="1"/>
    <xf numFmtId="165" fontId="0" fillId="0" borderId="1" xfId="0" applyNumberFormat="1" applyBorder="1"/>
  </cellXfs>
  <cellStyles count="7">
    <cellStyle name="Dane wejściowe" xfId="6" builtinId="20"/>
    <cellStyle name="Hiperłącze" xfId="5" builtinId="8"/>
    <cellStyle name="Normalny" xfId="0" builtinId="0"/>
    <cellStyle name="Normalny 2 7" xfId="3" xr:uid="{00000000-0005-0000-0000-000003000000}"/>
    <cellStyle name="Normalny 4" xfId="2" xr:uid="{00000000-0005-0000-0000-000004000000}"/>
    <cellStyle name="Normalny 53" xfId="4" xr:uid="{00000000-0005-0000-0000-000005000000}"/>
    <cellStyle name="Procentowy" xfId="1" builtinId="5"/>
  </cellStyles>
  <dxfs count="2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2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1" Type="http://schemas.openxmlformats.org/officeDocument/2006/relationships/hyperlink" Target="https://www.eea.europa.eu/ds_resolveuid/SHNJDK8413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ea.europa.eu/ds_resolveuid/SHNJDK841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0"/>
  <sheetViews>
    <sheetView workbookViewId="0"/>
  </sheetViews>
  <sheetFormatPr defaultRowHeight="14.4"/>
  <cols>
    <col min="2" max="2" width="1.5546875" customWidth="1"/>
    <col min="26" max="26" width="1.6640625" customWidth="1"/>
  </cols>
  <sheetData>
    <row r="2" spans="2:26" ht="9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2:26" ht="25.8">
      <c r="B3" s="50"/>
      <c r="C3" s="51" t="s">
        <v>401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2:26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2:26">
      <c r="B5" s="50"/>
      <c r="C5" s="85" t="s">
        <v>441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2:2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2:26">
      <c r="B7" s="50"/>
      <c r="C7" s="52" t="s">
        <v>381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6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2:26" ht="186" customHeight="1">
      <c r="B9" s="50"/>
      <c r="C9" s="114" t="s">
        <v>461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50"/>
    </row>
    <row r="10" spans="2:26" ht="7.5" customHeight="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</sheetData>
  <mergeCells count="1">
    <mergeCell ref="C9:Y9"/>
  </mergeCells>
  <pageMargins left="0.7" right="0.7" top="0.75" bottom="0.75" header="0.3" footer="0.3"/>
  <pageSetup paperSize="9" orientation="portrait" r:id="rId1"/>
  <headerFooter>
    <oddHeader>&amp;RZałącznik nr 12 do Regulaminu wyboru projektów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O43"/>
  <sheetViews>
    <sheetView workbookViewId="0"/>
  </sheetViews>
  <sheetFormatPr defaultRowHeight="14.4"/>
  <cols>
    <col min="1" max="1" width="65.33203125" customWidth="1"/>
    <col min="4" max="6" width="16.6640625" style="57" customWidth="1"/>
    <col min="9" max="9" width="34.109375" customWidth="1"/>
    <col min="10" max="10" width="15.33203125" customWidth="1"/>
    <col min="11" max="11" width="8.109375" bestFit="1" customWidth="1"/>
    <col min="12" max="12" width="16.6640625" customWidth="1"/>
    <col min="14" max="14" width="11.5546875" customWidth="1"/>
  </cols>
  <sheetData>
    <row r="2" spans="1:15">
      <c r="A2" s="4" t="s">
        <v>67</v>
      </c>
    </row>
    <row r="3" spans="1:15" ht="15" customHeight="1">
      <c r="C3" s="4" t="s">
        <v>338</v>
      </c>
    </row>
    <row r="4" spans="1:15">
      <c r="A4" t="s">
        <v>12</v>
      </c>
      <c r="B4" s="42">
        <f>1+C4</f>
        <v>1</v>
      </c>
      <c r="C4" s="43"/>
    </row>
    <row r="5" spans="1:15">
      <c r="A5" t="s">
        <v>34</v>
      </c>
      <c r="B5" s="42">
        <f t="shared" ref="B5:B7" si="0">1+C5</f>
        <v>1</v>
      </c>
      <c r="C5" s="43"/>
    </row>
    <row r="6" spans="1:15">
      <c r="A6" t="s">
        <v>50</v>
      </c>
      <c r="B6" s="42">
        <f t="shared" si="0"/>
        <v>1</v>
      </c>
      <c r="C6" s="43"/>
    </row>
    <row r="7" spans="1:15">
      <c r="A7" t="s">
        <v>68</v>
      </c>
      <c r="B7" s="42">
        <f t="shared" si="0"/>
        <v>1</v>
      </c>
      <c r="C7" s="43"/>
    </row>
    <row r="9" spans="1:15">
      <c r="I9" s="44" t="s">
        <v>387</v>
      </c>
      <c r="J9" s="44"/>
      <c r="K9" s="44"/>
      <c r="L9" s="44"/>
      <c r="M9" s="44"/>
      <c r="N9" s="44"/>
      <c r="O9" s="44"/>
    </row>
    <row r="10" spans="1:15">
      <c r="D10" s="57" t="s">
        <v>298</v>
      </c>
      <c r="E10" s="57" t="s">
        <v>266</v>
      </c>
      <c r="F10" s="57" t="s">
        <v>278</v>
      </c>
      <c r="I10" s="46" t="s">
        <v>340</v>
      </c>
      <c r="J10" s="46"/>
      <c r="K10" s="46"/>
      <c r="L10" s="46"/>
      <c r="M10" s="46"/>
      <c r="N10" s="46"/>
      <c r="O10" s="46"/>
    </row>
    <row r="11" spans="1:15" ht="28.8">
      <c r="A11" t="s">
        <v>282</v>
      </c>
      <c r="D11" s="58">
        <f>AnalizaFin!D26</f>
        <v>3645954.7971164887</v>
      </c>
      <c r="E11" s="58">
        <f>AnalizaFin!D12</f>
        <v>-19816778.119327374</v>
      </c>
      <c r="F11" s="58">
        <f>AnalizaEkon!D16</f>
        <v>21057995.060028307</v>
      </c>
      <c r="I11" s="44"/>
      <c r="J11" s="45" t="s">
        <v>388</v>
      </c>
      <c r="K11" s="45" t="s">
        <v>54</v>
      </c>
      <c r="L11" s="45" t="s">
        <v>389</v>
      </c>
      <c r="M11" s="44" t="s">
        <v>298</v>
      </c>
      <c r="N11" s="44" t="s">
        <v>266</v>
      </c>
      <c r="O11" s="44" t="s">
        <v>278</v>
      </c>
    </row>
    <row r="12" spans="1:15">
      <c r="A12" s="20" t="s">
        <v>317</v>
      </c>
      <c r="D12" s="59"/>
      <c r="E12" s="59"/>
      <c r="F12" s="59"/>
      <c r="I12" t="str">
        <f>A4</f>
        <v>Nakłady inwestycyjne</v>
      </c>
      <c r="J12" s="13" t="s">
        <v>390</v>
      </c>
      <c r="K12" s="13">
        <v>0</v>
      </c>
      <c r="L12" s="13" t="s">
        <v>391</v>
      </c>
      <c r="M12" s="123"/>
      <c r="N12" s="123"/>
      <c r="O12" s="123"/>
    </row>
    <row r="13" spans="1:15">
      <c r="A13" s="20" t="s">
        <v>318</v>
      </c>
      <c r="D13" s="59"/>
      <c r="E13" s="59"/>
      <c r="F13" s="59"/>
      <c r="I13" t="str">
        <f>A5</f>
        <v>Koszty eksploatacji</v>
      </c>
      <c r="J13" s="13" t="s">
        <v>390</v>
      </c>
      <c r="K13" s="13">
        <v>0</v>
      </c>
      <c r="L13" s="13" t="s">
        <v>392</v>
      </c>
      <c r="M13" s="123"/>
      <c r="N13" s="123"/>
      <c r="O13" s="123"/>
    </row>
    <row r="14" spans="1:15">
      <c r="A14" s="20" t="s">
        <v>319</v>
      </c>
      <c r="D14" s="59"/>
      <c r="E14" s="59"/>
      <c r="F14" s="59"/>
      <c r="I14" t="str">
        <f>A6</f>
        <v>Przychody</v>
      </c>
      <c r="J14" s="13" t="s">
        <v>390</v>
      </c>
      <c r="K14" s="13">
        <v>0</v>
      </c>
      <c r="L14" s="13" t="s">
        <v>393</v>
      </c>
      <c r="M14" s="123"/>
      <c r="N14" s="123"/>
      <c r="O14" s="123"/>
    </row>
    <row r="15" spans="1:15">
      <c r="A15" s="20" t="s">
        <v>320</v>
      </c>
      <c r="D15" s="59"/>
      <c r="E15" s="59"/>
      <c r="F15" s="59"/>
      <c r="I15" t="str">
        <f>A7</f>
        <v>Jednostkowe koszty ekonomiczne</v>
      </c>
      <c r="J15" s="13" t="s">
        <v>390</v>
      </c>
      <c r="K15" s="13">
        <v>0</v>
      </c>
      <c r="L15" s="13" t="s">
        <v>394</v>
      </c>
      <c r="M15" s="123"/>
      <c r="N15" s="123"/>
      <c r="O15" s="123"/>
    </row>
    <row r="16" spans="1:15">
      <c r="A16" s="20" t="s">
        <v>305</v>
      </c>
      <c r="D16" s="59"/>
      <c r="E16" s="59"/>
      <c r="F16" s="59"/>
    </row>
    <row r="17" spans="1:6">
      <c r="A17" s="20" t="s">
        <v>306</v>
      </c>
      <c r="D17" s="59"/>
      <c r="E17" s="59"/>
      <c r="F17" s="59"/>
    </row>
    <row r="18" spans="1:6">
      <c r="A18" s="20" t="s">
        <v>307</v>
      </c>
      <c r="D18" s="59"/>
      <c r="E18" s="59"/>
      <c r="F18" s="59"/>
    </row>
    <row r="19" spans="1:6">
      <c r="A19" s="20" t="s">
        <v>308</v>
      </c>
      <c r="D19" s="59"/>
      <c r="E19" s="59"/>
      <c r="F19" s="59"/>
    </row>
    <row r="20" spans="1:6">
      <c r="A20" s="20" t="s">
        <v>309</v>
      </c>
      <c r="D20" s="59"/>
      <c r="E20" s="59"/>
      <c r="F20" s="59"/>
    </row>
    <row r="21" spans="1:6">
      <c r="A21" s="20" t="s">
        <v>310</v>
      </c>
      <c r="D21" s="59"/>
      <c r="E21" s="59"/>
      <c r="F21" s="59"/>
    </row>
    <row r="22" spans="1:6">
      <c r="A22" s="20" t="s">
        <v>311</v>
      </c>
      <c r="D22" s="59"/>
      <c r="E22" s="59"/>
      <c r="F22" s="59"/>
    </row>
    <row r="23" spans="1:6">
      <c r="A23" s="20" t="s">
        <v>312</v>
      </c>
      <c r="D23" s="59"/>
      <c r="E23" s="59"/>
      <c r="F23" s="59"/>
    </row>
    <row r="24" spans="1:6">
      <c r="A24" s="20" t="s">
        <v>376</v>
      </c>
      <c r="D24" s="59"/>
      <c r="E24" s="59"/>
      <c r="F24" s="59"/>
    </row>
    <row r="25" spans="1:6">
      <c r="A25" s="20" t="s">
        <v>377</v>
      </c>
      <c r="D25" s="59"/>
      <c r="E25" s="59"/>
      <c r="F25" s="59"/>
    </row>
    <row r="26" spans="1:6">
      <c r="A26" s="20" t="s">
        <v>378</v>
      </c>
      <c r="D26" s="59"/>
      <c r="E26" s="59"/>
      <c r="F26" s="59"/>
    </row>
    <row r="27" spans="1:6">
      <c r="A27" s="20" t="s">
        <v>379</v>
      </c>
      <c r="D27" s="59"/>
      <c r="E27" s="59"/>
      <c r="F27" s="59"/>
    </row>
    <row r="28" spans="1:6">
      <c r="A28" s="20" t="s">
        <v>313</v>
      </c>
      <c r="D28" s="59"/>
      <c r="E28" s="59"/>
      <c r="F28" s="59"/>
    </row>
    <row r="29" spans="1:6">
      <c r="A29" s="20" t="s">
        <v>314</v>
      </c>
      <c r="D29" s="59"/>
      <c r="E29" s="59"/>
      <c r="F29" s="59"/>
    </row>
    <row r="30" spans="1:6">
      <c r="A30" s="20" t="s">
        <v>315</v>
      </c>
      <c r="D30" s="59"/>
      <c r="E30" s="59"/>
      <c r="F30" s="59"/>
    </row>
    <row r="31" spans="1:6" ht="43.2">
      <c r="A31" s="20" t="s">
        <v>316</v>
      </c>
      <c r="D31" s="59"/>
      <c r="E31" s="59"/>
      <c r="F31" s="59"/>
    </row>
    <row r="32" spans="1:6">
      <c r="A32" s="20" t="s">
        <v>321</v>
      </c>
      <c r="D32" s="59"/>
      <c r="E32" s="59"/>
      <c r="F32" s="59"/>
    </row>
    <row r="33" spans="1:6">
      <c r="A33" s="20" t="s">
        <v>322</v>
      </c>
      <c r="D33" s="59"/>
      <c r="E33" s="59"/>
      <c r="F33" s="59"/>
    </row>
    <row r="34" spans="1:6">
      <c r="A34" s="20" t="s">
        <v>323</v>
      </c>
      <c r="D34" s="59"/>
      <c r="E34" s="59"/>
      <c r="F34" s="59"/>
    </row>
    <row r="35" spans="1:6">
      <c r="A35" s="20" t="s">
        <v>324</v>
      </c>
      <c r="D35" s="59"/>
      <c r="E35" s="59"/>
      <c r="F35" s="59"/>
    </row>
    <row r="36" spans="1:6">
      <c r="A36" s="20" t="s">
        <v>325</v>
      </c>
      <c r="D36" s="59"/>
      <c r="E36" s="59"/>
      <c r="F36" s="59"/>
    </row>
    <row r="37" spans="1:6">
      <c r="A37" s="20" t="s">
        <v>326</v>
      </c>
      <c r="D37" s="59"/>
      <c r="E37" s="59"/>
      <c r="F37" s="59"/>
    </row>
    <row r="38" spans="1:6">
      <c r="A38" s="20" t="s">
        <v>327</v>
      </c>
      <c r="D38" s="59"/>
      <c r="E38" s="59"/>
      <c r="F38" s="59"/>
    </row>
    <row r="39" spans="1:6">
      <c r="A39" s="20" t="s">
        <v>328</v>
      </c>
      <c r="D39" s="59"/>
      <c r="E39" s="59"/>
      <c r="F39" s="59"/>
    </row>
    <row r="40" spans="1:6">
      <c r="A40" s="20" t="s">
        <v>335</v>
      </c>
      <c r="D40" s="59"/>
      <c r="E40" s="59"/>
      <c r="F40" s="59"/>
    </row>
    <row r="41" spans="1:6">
      <c r="A41" s="20" t="s">
        <v>336</v>
      </c>
      <c r="D41" s="59"/>
      <c r="E41" s="59"/>
      <c r="F41" s="59"/>
    </row>
    <row r="42" spans="1:6">
      <c r="A42" s="20" t="s">
        <v>337</v>
      </c>
      <c r="D42" s="59"/>
      <c r="E42" s="59"/>
      <c r="F42" s="59"/>
    </row>
    <row r="43" spans="1:6">
      <c r="A43" s="20" t="s">
        <v>380</v>
      </c>
      <c r="D43" s="59"/>
      <c r="E43" s="59"/>
      <c r="F43" s="5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F87"/>
  <sheetViews>
    <sheetView showGridLines="0" topLeftCell="A67" workbookViewId="0"/>
  </sheetViews>
  <sheetFormatPr defaultRowHeight="14.4"/>
  <cols>
    <col min="1" max="1" width="6.44140625" customWidth="1"/>
    <col min="2" max="2" width="30.44140625" customWidth="1"/>
    <col min="3" max="3" width="16" customWidth="1"/>
    <col min="4" max="4" width="19.6640625" customWidth="1"/>
    <col min="5" max="5" width="17.109375" customWidth="1"/>
    <col min="6" max="6" width="19.6640625" customWidth="1"/>
    <col min="7" max="7" width="16.44140625" customWidth="1"/>
    <col min="8" max="8" width="19.6640625" customWidth="1"/>
    <col min="9" max="9" width="9.109375" bestFit="1" customWidth="1"/>
  </cols>
  <sheetData>
    <row r="2" spans="2:4">
      <c r="B2" s="108" t="s">
        <v>52</v>
      </c>
      <c r="C2" s="109"/>
      <c r="D2" s="110"/>
    </row>
    <row r="3" spans="2:4">
      <c r="B3" s="34"/>
      <c r="C3" s="34"/>
      <c r="D3" s="34"/>
    </row>
    <row r="4" spans="2:4">
      <c r="B4" s="34" t="s">
        <v>278</v>
      </c>
      <c r="C4" s="78" t="s">
        <v>17</v>
      </c>
      <c r="D4" s="79">
        <f>AnalizaEkon!D16</f>
        <v>21057995.060028307</v>
      </c>
    </row>
    <row r="5" spans="2:4">
      <c r="B5" s="34" t="s">
        <v>280</v>
      </c>
      <c r="C5" s="78" t="s">
        <v>13</v>
      </c>
      <c r="D5" s="92">
        <f ca="1">AnalizaEkon!D17</f>
        <v>0.11757414088158757</v>
      </c>
    </row>
    <row r="6" spans="2:4">
      <c r="B6" s="34" t="s">
        <v>281</v>
      </c>
      <c r="C6" s="34"/>
      <c r="D6" s="79">
        <f>AnalizaEkon!D18</f>
        <v>1.8739656400310793</v>
      </c>
    </row>
    <row r="7" spans="2:4">
      <c r="B7" s="34"/>
      <c r="C7" s="34"/>
      <c r="D7" s="34"/>
    </row>
    <row r="8" spans="2:4">
      <c r="B8" s="108" t="s">
        <v>412</v>
      </c>
      <c r="C8" s="109"/>
      <c r="D8" s="110"/>
    </row>
    <row r="9" spans="2:4">
      <c r="B9" s="34"/>
      <c r="C9" s="34"/>
      <c r="D9" s="34"/>
    </row>
    <row r="10" spans="2:4">
      <c r="B10" s="34" t="s">
        <v>266</v>
      </c>
      <c r="C10" s="78" t="s">
        <v>17</v>
      </c>
      <c r="D10" s="79">
        <f>AnalizaFin!D12</f>
        <v>-19816778.119327374</v>
      </c>
    </row>
    <row r="11" spans="2:4">
      <c r="B11" s="34" t="s">
        <v>267</v>
      </c>
      <c r="C11" s="78" t="s">
        <v>13</v>
      </c>
      <c r="D11" s="92">
        <f ca="1">AnalizaFin!D13</f>
        <v>-0.10350287724358709</v>
      </c>
    </row>
    <row r="12" spans="2:4">
      <c r="B12" s="34" t="s">
        <v>298</v>
      </c>
      <c r="C12" s="78" t="s">
        <v>17</v>
      </c>
      <c r="D12" s="79">
        <f>AnalizaFin!D26</f>
        <v>3645954.7971164887</v>
      </c>
    </row>
    <row r="13" spans="2:4">
      <c r="B13" s="34" t="s">
        <v>299</v>
      </c>
      <c r="C13" s="78" t="s">
        <v>13</v>
      </c>
      <c r="D13" s="92">
        <f ca="1">AnalizaFin!D27</f>
        <v>0.16098973613247658</v>
      </c>
    </row>
    <row r="15" spans="2:4">
      <c r="B15" s="4" t="s">
        <v>65</v>
      </c>
    </row>
    <row r="17" spans="2:8" ht="45" customHeight="1">
      <c r="B17" s="111" t="s">
        <v>57</v>
      </c>
      <c r="C17" s="112"/>
      <c r="D17" s="112"/>
      <c r="E17" s="112"/>
      <c r="F17" s="112"/>
      <c r="G17" s="112"/>
      <c r="H17" s="113"/>
    </row>
    <row r="18" spans="2:8" ht="69.75" customHeight="1">
      <c r="B18" s="71" t="s">
        <v>58</v>
      </c>
      <c r="C18" s="71" t="s">
        <v>59</v>
      </c>
      <c r="D18" s="71" t="s">
        <v>60</v>
      </c>
      <c r="E18" s="71" t="s">
        <v>61</v>
      </c>
      <c r="F18" s="71" t="s">
        <v>62</v>
      </c>
      <c r="G18" s="71" t="s">
        <v>63</v>
      </c>
      <c r="H18" s="71" t="s">
        <v>64</v>
      </c>
    </row>
    <row r="19" spans="2:8" ht="30" customHeight="1">
      <c r="B19" s="9" t="s">
        <v>339</v>
      </c>
      <c r="C19" s="33">
        <f t="shared" ref="C19:C56" si="0">IFERROR(D19/D$19-1,"brak")</f>
        <v>0</v>
      </c>
      <c r="D19" s="10">
        <f>IF(ISBLANK(Wrażliwość!D11),"brak",Wrażliwość!D11)</f>
        <v>3645954.7971164887</v>
      </c>
      <c r="E19" s="33">
        <f t="shared" ref="E19:E56" si="1">IFERROR(F19/F$19-1,"brak")</f>
        <v>0</v>
      </c>
      <c r="F19" s="10">
        <f>IF(ISBLANK(Wrażliwość!E11),"brak",Wrażliwość!E11)</f>
        <v>-19816778.119327374</v>
      </c>
      <c r="G19" s="33">
        <f t="shared" ref="G19:G56" si="2">IFERROR(H19/H$19-1,"brak")</f>
        <v>0</v>
      </c>
      <c r="H19" s="10">
        <f>IF(ISBLANK(Wrażliwość!F11),"brak",Wrażliwość!F11)</f>
        <v>21057995.060028307</v>
      </c>
    </row>
    <row r="20" spans="2:8" ht="30" customHeight="1">
      <c r="B20" s="9" t="s">
        <v>301</v>
      </c>
      <c r="C20" s="33">
        <f t="shared" si="0"/>
        <v>0</v>
      </c>
      <c r="D20" s="10">
        <f>D19</f>
        <v>3645954.7971164887</v>
      </c>
      <c r="E20" s="33">
        <f t="shared" si="1"/>
        <v>0</v>
      </c>
      <c r="F20" s="10">
        <f>F19</f>
        <v>-19816778.119327374</v>
      </c>
      <c r="G20" s="33">
        <f t="shared" si="2"/>
        <v>0</v>
      </c>
      <c r="H20" s="10">
        <f>H19</f>
        <v>21057995.060028307</v>
      </c>
    </row>
    <row r="21" spans="2:8" ht="30" customHeight="1">
      <c r="B21" s="9" t="s">
        <v>302</v>
      </c>
      <c r="C21" s="33">
        <f t="shared" si="0"/>
        <v>0</v>
      </c>
      <c r="D21" s="10">
        <f>D20</f>
        <v>3645954.7971164887</v>
      </c>
      <c r="E21" s="33">
        <f t="shared" si="1"/>
        <v>0</v>
      </c>
      <c r="F21" s="10">
        <f>F20</f>
        <v>-19816778.119327374</v>
      </c>
      <c r="G21" s="33">
        <f t="shared" si="2"/>
        <v>0</v>
      </c>
      <c r="H21" s="10">
        <f>H20</f>
        <v>21057995.060028307</v>
      </c>
    </row>
    <row r="22" spans="2:8" ht="30" customHeight="1">
      <c r="B22" s="9" t="s">
        <v>303</v>
      </c>
      <c r="C22" s="33">
        <f t="shared" si="0"/>
        <v>0</v>
      </c>
      <c r="D22" s="10">
        <f>D21</f>
        <v>3645954.7971164887</v>
      </c>
      <c r="E22" s="33">
        <f t="shared" si="1"/>
        <v>0</v>
      </c>
      <c r="F22" s="10">
        <f>F21</f>
        <v>-19816778.119327374</v>
      </c>
      <c r="G22" s="33">
        <f t="shared" si="2"/>
        <v>0</v>
      </c>
      <c r="H22" s="10">
        <f>H21</f>
        <v>21057995.060028307</v>
      </c>
    </row>
    <row r="23" spans="2:8" ht="30" customHeight="1">
      <c r="B23" s="9" t="s">
        <v>304</v>
      </c>
      <c r="C23" s="33">
        <f t="shared" si="0"/>
        <v>0</v>
      </c>
      <c r="D23" s="10">
        <f>D22</f>
        <v>3645954.7971164887</v>
      </c>
      <c r="E23" s="33">
        <f t="shared" si="1"/>
        <v>0</v>
      </c>
      <c r="F23" s="10">
        <f>F22</f>
        <v>-19816778.119327374</v>
      </c>
      <c r="G23" s="33">
        <f t="shared" si="2"/>
        <v>0</v>
      </c>
      <c r="H23" s="10">
        <f>H22</f>
        <v>21057995.060028307</v>
      </c>
    </row>
    <row r="24" spans="2:8" ht="30" customHeight="1">
      <c r="B24" s="9" t="s">
        <v>317</v>
      </c>
      <c r="C24" s="33" t="str">
        <f t="shared" si="0"/>
        <v>brak</v>
      </c>
      <c r="D24" s="10" t="str">
        <f>IF(ISBLANK(Wrażliwość!D12),"brak",Wrażliwość!D12)</f>
        <v>brak</v>
      </c>
      <c r="E24" s="33" t="str">
        <f t="shared" si="1"/>
        <v>brak</v>
      </c>
      <c r="F24" s="10" t="str">
        <f>IF(ISBLANK(Wrażliwość!E12),"brak",Wrażliwość!E12)</f>
        <v>brak</v>
      </c>
      <c r="G24" s="33" t="str">
        <f t="shared" si="2"/>
        <v>brak</v>
      </c>
      <c r="H24" s="10" t="str">
        <f>IF(ISBLANK(Wrażliwość!F12),"brak",Wrażliwość!F12)</f>
        <v>brak</v>
      </c>
    </row>
    <row r="25" spans="2:8" ht="30" customHeight="1">
      <c r="B25" s="9" t="s">
        <v>318</v>
      </c>
      <c r="C25" s="33" t="str">
        <f t="shared" si="0"/>
        <v>brak</v>
      </c>
      <c r="D25" s="10" t="str">
        <f>IF(ISBLANK(Wrażliwość!D13),"brak",Wrażliwość!D13)</f>
        <v>brak</v>
      </c>
      <c r="E25" s="33" t="str">
        <f t="shared" si="1"/>
        <v>brak</v>
      </c>
      <c r="F25" s="10" t="str">
        <f>IF(ISBLANK(Wrażliwość!E13),"brak",Wrażliwość!E13)</f>
        <v>brak</v>
      </c>
      <c r="G25" s="33" t="str">
        <f t="shared" si="2"/>
        <v>brak</v>
      </c>
      <c r="H25" s="10" t="str">
        <f>IF(ISBLANK(Wrażliwość!F13),"brak",Wrażliwość!F13)</f>
        <v>brak</v>
      </c>
    </row>
    <row r="26" spans="2:8" ht="30" customHeight="1">
      <c r="B26" s="9" t="s">
        <v>319</v>
      </c>
      <c r="C26" s="33" t="str">
        <f t="shared" si="0"/>
        <v>brak</v>
      </c>
      <c r="D26" s="10" t="str">
        <f>IF(ISBLANK(Wrażliwość!D14),"brak",Wrażliwość!D14)</f>
        <v>brak</v>
      </c>
      <c r="E26" s="33" t="str">
        <f t="shared" si="1"/>
        <v>brak</v>
      </c>
      <c r="F26" s="10" t="str">
        <f>IF(ISBLANK(Wrażliwość!E14),"brak",Wrażliwość!E14)</f>
        <v>brak</v>
      </c>
      <c r="G26" s="33" t="str">
        <f t="shared" si="2"/>
        <v>brak</v>
      </c>
      <c r="H26" s="10" t="str">
        <f>IF(ISBLANK(Wrażliwość!F14),"brak",Wrażliwość!F14)</f>
        <v>brak</v>
      </c>
    </row>
    <row r="27" spans="2:8" ht="30" customHeight="1">
      <c r="B27" s="9" t="s">
        <v>320</v>
      </c>
      <c r="C27" s="33" t="str">
        <f t="shared" si="0"/>
        <v>brak</v>
      </c>
      <c r="D27" s="10" t="str">
        <f>IF(ISBLANK(Wrażliwość!D15),"brak",Wrażliwość!D15)</f>
        <v>brak</v>
      </c>
      <c r="E27" s="33" t="str">
        <f t="shared" si="1"/>
        <v>brak</v>
      </c>
      <c r="F27" s="10" t="str">
        <f>IF(ISBLANK(Wrażliwość!E15),"brak",Wrażliwość!E15)</f>
        <v>brak</v>
      </c>
      <c r="G27" s="33" t="str">
        <f t="shared" si="2"/>
        <v>brak</v>
      </c>
      <c r="H27" s="10" t="str">
        <f>IF(ISBLANK(Wrażliwość!F15),"brak",Wrażliwość!F15)</f>
        <v>brak</v>
      </c>
    </row>
    <row r="28" spans="2:8" ht="30" customHeight="1">
      <c r="B28" s="9" t="s">
        <v>305</v>
      </c>
      <c r="C28" s="33" t="str">
        <f t="shared" si="0"/>
        <v>brak</v>
      </c>
      <c r="D28" s="10" t="str">
        <f>IF(ISBLANK(Wrażliwość!D16),"brak",Wrażliwość!D16)</f>
        <v>brak</v>
      </c>
      <c r="E28" s="33" t="str">
        <f t="shared" si="1"/>
        <v>brak</v>
      </c>
      <c r="F28" s="10" t="str">
        <f>IF(ISBLANK(Wrażliwość!E16),"brak",Wrażliwość!E16)</f>
        <v>brak</v>
      </c>
      <c r="G28" s="33" t="str">
        <f t="shared" si="2"/>
        <v>brak</v>
      </c>
      <c r="H28" s="10" t="str">
        <f>IF(ISBLANK(Wrażliwość!F16),"brak",Wrażliwość!F16)</f>
        <v>brak</v>
      </c>
    </row>
    <row r="29" spans="2:8" ht="30" customHeight="1">
      <c r="B29" s="9" t="s">
        <v>306</v>
      </c>
      <c r="C29" s="33" t="str">
        <f t="shared" si="0"/>
        <v>brak</v>
      </c>
      <c r="D29" s="10" t="str">
        <f>IF(ISBLANK(Wrażliwość!D17),"brak",Wrażliwość!D17)</f>
        <v>brak</v>
      </c>
      <c r="E29" s="33" t="str">
        <f t="shared" si="1"/>
        <v>brak</v>
      </c>
      <c r="F29" s="10" t="str">
        <f>IF(ISBLANK(Wrażliwość!E17),"brak",Wrażliwość!E17)</f>
        <v>brak</v>
      </c>
      <c r="G29" s="33" t="str">
        <f t="shared" si="2"/>
        <v>brak</v>
      </c>
      <c r="H29" s="10" t="str">
        <f>IF(ISBLANK(Wrażliwość!F17),"brak",Wrażliwość!F17)</f>
        <v>brak</v>
      </c>
    </row>
    <row r="30" spans="2:8" ht="30" customHeight="1">
      <c r="B30" s="9" t="s">
        <v>307</v>
      </c>
      <c r="C30" s="33" t="str">
        <f t="shared" si="0"/>
        <v>brak</v>
      </c>
      <c r="D30" s="10" t="str">
        <f>IF(ISBLANK(Wrażliwość!D18),"brak",Wrażliwość!D18)</f>
        <v>brak</v>
      </c>
      <c r="E30" s="33" t="str">
        <f t="shared" si="1"/>
        <v>brak</v>
      </c>
      <c r="F30" s="10" t="str">
        <f>IF(ISBLANK(Wrażliwość!E18),"brak",Wrażliwość!E18)</f>
        <v>brak</v>
      </c>
      <c r="G30" s="33" t="str">
        <f t="shared" si="2"/>
        <v>brak</v>
      </c>
      <c r="H30" s="10" t="str">
        <f>IF(ISBLANK(Wrażliwość!F18),"brak",Wrażliwość!F18)</f>
        <v>brak</v>
      </c>
    </row>
    <row r="31" spans="2:8" ht="30" customHeight="1">
      <c r="B31" s="9" t="s">
        <v>308</v>
      </c>
      <c r="C31" s="33" t="str">
        <f t="shared" si="0"/>
        <v>brak</v>
      </c>
      <c r="D31" s="10" t="str">
        <f>IF(ISBLANK(Wrażliwość!D19),"brak",Wrażliwość!D19)</f>
        <v>brak</v>
      </c>
      <c r="E31" s="33" t="str">
        <f t="shared" si="1"/>
        <v>brak</v>
      </c>
      <c r="F31" s="10" t="str">
        <f>IF(ISBLANK(Wrażliwość!E19),"brak",Wrażliwość!E19)</f>
        <v>brak</v>
      </c>
      <c r="G31" s="33" t="str">
        <f t="shared" si="2"/>
        <v>brak</v>
      </c>
      <c r="H31" s="10" t="str">
        <f>IF(ISBLANK(Wrażliwość!F19),"brak",Wrażliwość!F19)</f>
        <v>brak</v>
      </c>
    </row>
    <row r="32" spans="2:8" ht="30" customHeight="1">
      <c r="B32" s="9" t="s">
        <v>309</v>
      </c>
      <c r="C32" s="33" t="str">
        <f t="shared" si="0"/>
        <v>brak</v>
      </c>
      <c r="D32" s="10" t="str">
        <f>IF(ISBLANK(Wrażliwość!D20),"brak",Wrażliwość!D20)</f>
        <v>brak</v>
      </c>
      <c r="E32" s="33" t="str">
        <f t="shared" si="1"/>
        <v>brak</v>
      </c>
      <c r="F32" s="10" t="str">
        <f>IF(ISBLANK(Wrażliwość!E20),"brak",Wrażliwość!E20)</f>
        <v>brak</v>
      </c>
      <c r="G32" s="33" t="str">
        <f t="shared" si="2"/>
        <v>brak</v>
      </c>
      <c r="H32" s="10" t="str">
        <f>IF(ISBLANK(Wrażliwość!F20),"brak",Wrażliwość!F20)</f>
        <v>brak</v>
      </c>
    </row>
    <row r="33" spans="2:8" ht="30" customHeight="1">
      <c r="B33" s="9" t="s">
        <v>310</v>
      </c>
      <c r="C33" s="33" t="str">
        <f t="shared" si="0"/>
        <v>brak</v>
      </c>
      <c r="D33" s="10" t="str">
        <f>IF(ISBLANK(Wrażliwość!D21),"brak",Wrażliwość!D21)</f>
        <v>brak</v>
      </c>
      <c r="E33" s="33" t="str">
        <f t="shared" si="1"/>
        <v>brak</v>
      </c>
      <c r="F33" s="10" t="str">
        <f>IF(ISBLANK(Wrażliwość!E21),"brak",Wrażliwość!E21)</f>
        <v>brak</v>
      </c>
      <c r="G33" s="33" t="str">
        <f t="shared" si="2"/>
        <v>brak</v>
      </c>
      <c r="H33" s="10" t="str">
        <f>IF(ISBLANK(Wrażliwość!F21),"brak",Wrażliwość!F21)</f>
        <v>brak</v>
      </c>
    </row>
    <row r="34" spans="2:8" ht="30" customHeight="1">
      <c r="B34" s="9" t="s">
        <v>311</v>
      </c>
      <c r="C34" s="33" t="str">
        <f t="shared" si="0"/>
        <v>brak</v>
      </c>
      <c r="D34" s="10" t="str">
        <f>IF(ISBLANK(Wrażliwość!D22),"brak",Wrażliwość!D22)</f>
        <v>brak</v>
      </c>
      <c r="E34" s="33" t="str">
        <f t="shared" si="1"/>
        <v>brak</v>
      </c>
      <c r="F34" s="10" t="str">
        <f>IF(ISBLANK(Wrażliwość!E22),"brak",Wrażliwość!E22)</f>
        <v>brak</v>
      </c>
      <c r="G34" s="33" t="str">
        <f t="shared" si="2"/>
        <v>brak</v>
      </c>
      <c r="H34" s="10" t="str">
        <f>IF(ISBLANK(Wrażliwość!F22),"brak",Wrażliwość!F22)</f>
        <v>brak</v>
      </c>
    </row>
    <row r="35" spans="2:8" ht="30" customHeight="1">
      <c r="B35" s="9" t="s">
        <v>312</v>
      </c>
      <c r="C35" s="33" t="str">
        <f t="shared" si="0"/>
        <v>brak</v>
      </c>
      <c r="D35" s="10" t="str">
        <f>IF(ISBLANK(Wrażliwość!D23),"brak",Wrażliwość!D23)</f>
        <v>brak</v>
      </c>
      <c r="E35" s="33" t="str">
        <f t="shared" si="1"/>
        <v>brak</v>
      </c>
      <c r="F35" s="10" t="str">
        <f>IF(ISBLANK(Wrażliwość!E23),"brak",Wrażliwość!E23)</f>
        <v>brak</v>
      </c>
      <c r="G35" s="33" t="str">
        <f t="shared" si="2"/>
        <v>brak</v>
      </c>
      <c r="H35" s="10" t="str">
        <f>IF(ISBLANK(Wrażliwość!F23),"brak",Wrażliwość!F23)</f>
        <v>brak</v>
      </c>
    </row>
    <row r="36" spans="2:8" ht="30" customHeight="1">
      <c r="B36" s="9" t="s">
        <v>376</v>
      </c>
      <c r="C36" s="33" t="str">
        <f t="shared" si="0"/>
        <v>brak</v>
      </c>
      <c r="D36" s="10" t="str">
        <f>IF(ISBLANK(Wrażliwość!D24),"brak",Wrażliwość!D24)</f>
        <v>brak</v>
      </c>
      <c r="E36" s="33" t="str">
        <f t="shared" si="1"/>
        <v>brak</v>
      </c>
      <c r="F36" s="10" t="str">
        <f>IF(ISBLANK(Wrażliwość!E24),"brak",Wrażliwość!E24)</f>
        <v>brak</v>
      </c>
      <c r="G36" s="33" t="str">
        <f t="shared" si="2"/>
        <v>brak</v>
      </c>
      <c r="H36" s="10" t="str">
        <f>IF(ISBLANK(Wrażliwość!F24),"brak",Wrażliwość!F24)</f>
        <v>brak</v>
      </c>
    </row>
    <row r="37" spans="2:8" ht="30" customHeight="1">
      <c r="B37" s="9" t="s">
        <v>377</v>
      </c>
      <c r="C37" s="33" t="str">
        <f t="shared" si="0"/>
        <v>brak</v>
      </c>
      <c r="D37" s="10" t="str">
        <f>IF(ISBLANK(Wrażliwość!D25),"brak",Wrażliwość!D25)</f>
        <v>brak</v>
      </c>
      <c r="E37" s="33" t="str">
        <f t="shared" si="1"/>
        <v>brak</v>
      </c>
      <c r="F37" s="10" t="str">
        <f>IF(ISBLANK(Wrażliwość!E25),"brak",Wrażliwość!E25)</f>
        <v>brak</v>
      </c>
      <c r="G37" s="33" t="str">
        <f t="shared" si="2"/>
        <v>brak</v>
      </c>
      <c r="H37" s="10" t="str">
        <f>IF(ISBLANK(Wrażliwość!F25),"brak",Wrażliwość!F25)</f>
        <v>brak</v>
      </c>
    </row>
    <row r="38" spans="2:8" ht="30" customHeight="1">
      <c r="B38" s="9" t="s">
        <v>378</v>
      </c>
      <c r="C38" s="33" t="str">
        <f t="shared" si="0"/>
        <v>brak</v>
      </c>
      <c r="D38" s="10" t="str">
        <f>IF(ISBLANK(Wrażliwość!D26),"brak",Wrażliwość!D26)</f>
        <v>brak</v>
      </c>
      <c r="E38" s="33" t="str">
        <f t="shared" si="1"/>
        <v>brak</v>
      </c>
      <c r="F38" s="10" t="str">
        <f>IF(ISBLANK(Wrażliwość!E26),"brak",Wrażliwość!E26)</f>
        <v>brak</v>
      </c>
      <c r="G38" s="33" t="str">
        <f t="shared" si="2"/>
        <v>brak</v>
      </c>
      <c r="H38" s="10" t="str">
        <f>IF(ISBLANK(Wrażliwość!F26),"brak",Wrażliwość!F26)</f>
        <v>brak</v>
      </c>
    </row>
    <row r="39" spans="2:8" ht="30" customHeight="1">
      <c r="B39" s="9" t="s">
        <v>379</v>
      </c>
      <c r="C39" s="33" t="str">
        <f t="shared" si="0"/>
        <v>brak</v>
      </c>
      <c r="D39" s="10" t="str">
        <f>IF(ISBLANK(Wrażliwość!D27),"brak",Wrażliwość!D27)</f>
        <v>brak</v>
      </c>
      <c r="E39" s="33" t="str">
        <f t="shared" si="1"/>
        <v>brak</v>
      </c>
      <c r="F39" s="10" t="str">
        <f>IF(ISBLANK(Wrażliwość!E27),"brak",Wrażliwość!E27)</f>
        <v>brak</v>
      </c>
      <c r="G39" s="33" t="str">
        <f t="shared" si="2"/>
        <v>brak</v>
      </c>
      <c r="H39" s="10" t="str">
        <f>IF(ISBLANK(Wrażliwość!F27),"brak",Wrażliwość!F27)</f>
        <v>brak</v>
      </c>
    </row>
    <row r="40" spans="2:8" ht="30" customHeight="1">
      <c r="B40" s="9" t="s">
        <v>313</v>
      </c>
      <c r="C40" s="33" t="str">
        <f t="shared" si="0"/>
        <v>brak</v>
      </c>
      <c r="D40" s="10" t="str">
        <f>IF(ISBLANK(Wrażliwość!D28),"brak",Wrażliwość!D28)</f>
        <v>brak</v>
      </c>
      <c r="E40" s="33" t="str">
        <f t="shared" si="1"/>
        <v>brak</v>
      </c>
      <c r="F40" s="10" t="str">
        <f>IF(ISBLANK(Wrażliwość!E28),"brak",Wrażliwość!E28)</f>
        <v>brak</v>
      </c>
      <c r="G40" s="33" t="str">
        <f t="shared" si="2"/>
        <v>brak</v>
      </c>
      <c r="H40" s="10" t="str">
        <f>IF(ISBLANK(Wrażliwość!F28),"brak",Wrażliwość!F28)</f>
        <v>brak</v>
      </c>
    </row>
    <row r="41" spans="2:8" ht="30" customHeight="1">
      <c r="B41" s="9" t="s">
        <v>314</v>
      </c>
      <c r="C41" s="33" t="str">
        <f t="shared" si="0"/>
        <v>brak</v>
      </c>
      <c r="D41" s="10" t="str">
        <f>IF(ISBLANK(Wrażliwość!D29),"brak",Wrażliwość!D29)</f>
        <v>brak</v>
      </c>
      <c r="E41" s="33" t="str">
        <f t="shared" si="1"/>
        <v>brak</v>
      </c>
      <c r="F41" s="10" t="str">
        <f>IF(ISBLANK(Wrażliwość!E29),"brak",Wrażliwość!E29)</f>
        <v>brak</v>
      </c>
      <c r="G41" s="33" t="str">
        <f t="shared" si="2"/>
        <v>brak</v>
      </c>
      <c r="H41" s="10" t="str">
        <f>IF(ISBLANK(Wrażliwość!F29),"brak",Wrażliwość!F29)</f>
        <v>brak</v>
      </c>
    </row>
    <row r="42" spans="2:8" ht="30" customHeight="1">
      <c r="B42" s="9" t="s">
        <v>315</v>
      </c>
      <c r="C42" s="33" t="str">
        <f t="shared" si="0"/>
        <v>brak</v>
      </c>
      <c r="D42" s="10" t="str">
        <f>IF(ISBLANK(Wrażliwość!D30),"brak",Wrażliwość!D30)</f>
        <v>brak</v>
      </c>
      <c r="E42" s="33" t="str">
        <f t="shared" si="1"/>
        <v>brak</v>
      </c>
      <c r="F42" s="10" t="str">
        <f>IF(ISBLANK(Wrażliwość!E30),"brak",Wrażliwość!E30)</f>
        <v>brak</v>
      </c>
      <c r="G42" s="33" t="str">
        <f t="shared" si="2"/>
        <v>brak</v>
      </c>
      <c r="H42" s="10" t="str">
        <f>IF(ISBLANK(Wrażliwość!F30),"brak",Wrażliwość!F30)</f>
        <v>brak</v>
      </c>
    </row>
    <row r="43" spans="2:8" ht="82.5" customHeight="1">
      <c r="B43" s="9" t="s">
        <v>316</v>
      </c>
      <c r="C43" s="33" t="str">
        <f t="shared" si="0"/>
        <v>brak</v>
      </c>
      <c r="D43" s="10" t="str">
        <f>IF(ISBLANK(Wrażliwość!D31),"brak",Wrażliwość!D31)</f>
        <v>brak</v>
      </c>
      <c r="E43" s="33" t="str">
        <f t="shared" si="1"/>
        <v>brak</v>
      </c>
      <c r="F43" s="10" t="str">
        <f>IF(ISBLANK(Wrażliwość!E31),"brak",Wrażliwość!E31)</f>
        <v>brak</v>
      </c>
      <c r="G43" s="33" t="str">
        <f t="shared" si="2"/>
        <v>brak</v>
      </c>
      <c r="H43" s="10" t="str">
        <f>IF(ISBLANK(Wrażliwość!F31),"brak",Wrażliwość!F31)</f>
        <v>brak</v>
      </c>
    </row>
    <row r="44" spans="2:8" ht="30" customHeight="1">
      <c r="B44" s="9" t="s">
        <v>321</v>
      </c>
      <c r="C44" s="33" t="str">
        <f t="shared" si="0"/>
        <v>brak</v>
      </c>
      <c r="D44" s="10" t="str">
        <f>IF(ISBLANK(Wrażliwość!D32),"brak",Wrażliwość!D32)</f>
        <v>brak</v>
      </c>
      <c r="E44" s="33" t="str">
        <f t="shared" si="1"/>
        <v>brak</v>
      </c>
      <c r="F44" s="10" t="str">
        <f>IF(ISBLANK(Wrażliwość!E32),"brak",Wrażliwość!E32)</f>
        <v>brak</v>
      </c>
      <c r="G44" s="33" t="str">
        <f t="shared" si="2"/>
        <v>brak</v>
      </c>
      <c r="H44" s="10" t="str">
        <f>IF(ISBLANK(Wrażliwość!F32),"brak",Wrażliwość!F32)</f>
        <v>brak</v>
      </c>
    </row>
    <row r="45" spans="2:8" ht="30" customHeight="1">
      <c r="B45" s="9" t="s">
        <v>322</v>
      </c>
      <c r="C45" s="33" t="str">
        <f t="shared" si="0"/>
        <v>brak</v>
      </c>
      <c r="D45" s="10" t="str">
        <f>IF(ISBLANK(Wrażliwość!D33),"brak",Wrażliwość!D33)</f>
        <v>brak</v>
      </c>
      <c r="E45" s="33" t="str">
        <f t="shared" si="1"/>
        <v>brak</v>
      </c>
      <c r="F45" s="10" t="str">
        <f>IF(ISBLANK(Wrażliwość!E33),"brak",Wrażliwość!E33)</f>
        <v>brak</v>
      </c>
      <c r="G45" s="33" t="str">
        <f t="shared" si="2"/>
        <v>brak</v>
      </c>
      <c r="H45" s="10" t="str">
        <f>IF(ISBLANK(Wrażliwość!F33),"brak",Wrażliwość!F33)</f>
        <v>brak</v>
      </c>
    </row>
    <row r="46" spans="2:8" ht="30" customHeight="1">
      <c r="B46" s="9" t="s">
        <v>323</v>
      </c>
      <c r="C46" s="33" t="str">
        <f t="shared" si="0"/>
        <v>brak</v>
      </c>
      <c r="D46" s="10" t="str">
        <f>IF(ISBLANK(Wrażliwość!D34),"brak",Wrażliwość!D34)</f>
        <v>brak</v>
      </c>
      <c r="E46" s="33" t="str">
        <f t="shared" si="1"/>
        <v>brak</v>
      </c>
      <c r="F46" s="10" t="str">
        <f>IF(ISBLANK(Wrażliwość!E34),"brak",Wrażliwość!E34)</f>
        <v>brak</v>
      </c>
      <c r="G46" s="33" t="str">
        <f t="shared" si="2"/>
        <v>brak</v>
      </c>
      <c r="H46" s="10" t="str">
        <f>IF(ISBLANK(Wrażliwość!F34),"brak",Wrażliwość!F34)</f>
        <v>brak</v>
      </c>
    </row>
    <row r="47" spans="2:8" ht="30" customHeight="1">
      <c r="B47" s="9" t="s">
        <v>324</v>
      </c>
      <c r="C47" s="33" t="str">
        <f t="shared" si="0"/>
        <v>brak</v>
      </c>
      <c r="D47" s="10" t="str">
        <f>IF(ISBLANK(Wrażliwość!D35),"brak",Wrażliwość!D35)</f>
        <v>brak</v>
      </c>
      <c r="E47" s="33" t="str">
        <f t="shared" si="1"/>
        <v>brak</v>
      </c>
      <c r="F47" s="10" t="str">
        <f>IF(ISBLANK(Wrażliwość!E35),"brak",Wrażliwość!E35)</f>
        <v>brak</v>
      </c>
      <c r="G47" s="33" t="str">
        <f t="shared" si="2"/>
        <v>brak</v>
      </c>
      <c r="H47" s="10" t="str">
        <f>IF(ISBLANK(Wrażliwość!F35),"brak",Wrażliwość!F35)</f>
        <v>brak</v>
      </c>
    </row>
    <row r="48" spans="2:8" ht="30" customHeight="1">
      <c r="B48" s="9" t="s">
        <v>325</v>
      </c>
      <c r="C48" s="33" t="str">
        <f t="shared" si="0"/>
        <v>brak</v>
      </c>
      <c r="D48" s="10" t="str">
        <f>IF(ISBLANK(Wrażliwość!D36),"brak",Wrażliwość!D36)</f>
        <v>brak</v>
      </c>
      <c r="E48" s="33" t="str">
        <f t="shared" si="1"/>
        <v>brak</v>
      </c>
      <c r="F48" s="10" t="str">
        <f>IF(ISBLANK(Wrażliwość!E36),"brak",Wrażliwość!E36)</f>
        <v>brak</v>
      </c>
      <c r="G48" s="33" t="str">
        <f t="shared" si="2"/>
        <v>brak</v>
      </c>
      <c r="H48" s="10" t="str">
        <f>IF(ISBLANK(Wrażliwość!F36),"brak",Wrażliwość!F36)</f>
        <v>brak</v>
      </c>
    </row>
    <row r="49" spans="2:8" ht="30" customHeight="1">
      <c r="B49" s="9" t="s">
        <v>326</v>
      </c>
      <c r="C49" s="33" t="str">
        <f t="shared" si="0"/>
        <v>brak</v>
      </c>
      <c r="D49" s="10" t="str">
        <f>IF(ISBLANK(Wrażliwość!D37),"brak",Wrażliwość!D37)</f>
        <v>brak</v>
      </c>
      <c r="E49" s="33" t="str">
        <f t="shared" si="1"/>
        <v>brak</v>
      </c>
      <c r="F49" s="10" t="str">
        <f>IF(ISBLANK(Wrażliwość!E37),"brak",Wrażliwość!E37)</f>
        <v>brak</v>
      </c>
      <c r="G49" s="33" t="str">
        <f t="shared" si="2"/>
        <v>brak</v>
      </c>
      <c r="H49" s="10" t="str">
        <f>IF(ISBLANK(Wrażliwość!F37),"brak",Wrażliwość!F37)</f>
        <v>brak</v>
      </c>
    </row>
    <row r="50" spans="2:8" ht="30" customHeight="1">
      <c r="B50" s="9" t="s">
        <v>327</v>
      </c>
      <c r="C50" s="33" t="str">
        <f t="shared" si="0"/>
        <v>brak</v>
      </c>
      <c r="D50" s="10" t="str">
        <f>IF(ISBLANK(Wrażliwość!D38),"brak",Wrażliwość!D38)</f>
        <v>brak</v>
      </c>
      <c r="E50" s="33" t="str">
        <f t="shared" si="1"/>
        <v>brak</v>
      </c>
      <c r="F50" s="10" t="str">
        <f>IF(ISBLANK(Wrażliwość!E38),"brak",Wrażliwość!E38)</f>
        <v>brak</v>
      </c>
      <c r="G50" s="33" t="str">
        <f t="shared" si="2"/>
        <v>brak</v>
      </c>
      <c r="H50" s="10" t="str">
        <f>IF(ISBLANK(Wrażliwość!F38),"brak",Wrażliwość!F38)</f>
        <v>brak</v>
      </c>
    </row>
    <row r="51" spans="2:8" ht="30" customHeight="1">
      <c r="B51" s="9" t="s">
        <v>328</v>
      </c>
      <c r="C51" s="33" t="str">
        <f t="shared" si="0"/>
        <v>brak</v>
      </c>
      <c r="D51" s="10" t="str">
        <f>IF(ISBLANK(Wrażliwość!D39),"brak",Wrażliwość!D39)</f>
        <v>brak</v>
      </c>
      <c r="E51" s="33" t="str">
        <f t="shared" si="1"/>
        <v>brak</v>
      </c>
      <c r="F51" s="10" t="str">
        <f>IF(ISBLANK(Wrażliwość!E39),"brak",Wrażliwość!E39)</f>
        <v>brak</v>
      </c>
      <c r="G51" s="33" t="str">
        <f t="shared" si="2"/>
        <v>brak</v>
      </c>
      <c r="H51" s="10" t="str">
        <f>IF(ISBLANK(Wrażliwość!F39),"brak",Wrażliwość!F39)</f>
        <v>brak</v>
      </c>
    </row>
    <row r="52" spans="2:8" ht="30" customHeight="1">
      <c r="B52" s="9" t="s">
        <v>334</v>
      </c>
      <c r="C52" s="33">
        <f t="shared" si="0"/>
        <v>0</v>
      </c>
      <c r="D52" s="10">
        <f>D19</f>
        <v>3645954.7971164887</v>
      </c>
      <c r="E52" s="33">
        <f t="shared" si="1"/>
        <v>0</v>
      </c>
      <c r="F52" s="10">
        <f>F19</f>
        <v>-19816778.119327374</v>
      </c>
      <c r="G52" s="33">
        <f t="shared" si="2"/>
        <v>0</v>
      </c>
      <c r="H52" s="10">
        <f>H19</f>
        <v>21057995.060028307</v>
      </c>
    </row>
    <row r="53" spans="2:8" ht="30" customHeight="1">
      <c r="B53" s="9" t="s">
        <v>335</v>
      </c>
      <c r="C53" s="33" t="str">
        <f t="shared" si="0"/>
        <v>brak</v>
      </c>
      <c r="D53" s="10" t="str">
        <f>IF(ISBLANK(Wrażliwość!D40),"brak",Wrażliwość!D40)</f>
        <v>brak</v>
      </c>
      <c r="E53" s="33" t="str">
        <f t="shared" si="1"/>
        <v>brak</v>
      </c>
      <c r="F53" s="10" t="str">
        <f>IF(ISBLANK(Wrażliwość!E40),"brak",Wrażliwość!E40)</f>
        <v>brak</v>
      </c>
      <c r="G53" s="33" t="str">
        <f t="shared" si="2"/>
        <v>brak</v>
      </c>
      <c r="H53" s="10" t="str">
        <f>IF(ISBLANK(Wrażliwość!F40),"brak",Wrażliwość!F40)</f>
        <v>brak</v>
      </c>
    </row>
    <row r="54" spans="2:8" ht="30" customHeight="1">
      <c r="B54" s="9" t="s">
        <v>336</v>
      </c>
      <c r="C54" s="33" t="str">
        <f t="shared" si="0"/>
        <v>brak</v>
      </c>
      <c r="D54" s="10" t="str">
        <f>IF(ISBLANK(Wrażliwość!D41),"brak",Wrażliwość!D41)</f>
        <v>brak</v>
      </c>
      <c r="E54" s="33" t="str">
        <f t="shared" si="1"/>
        <v>brak</v>
      </c>
      <c r="F54" s="10" t="str">
        <f>IF(ISBLANK(Wrażliwość!E41),"brak",Wrażliwość!E41)</f>
        <v>brak</v>
      </c>
      <c r="G54" s="33" t="str">
        <f t="shared" si="2"/>
        <v>brak</v>
      </c>
      <c r="H54" s="10" t="str">
        <f>IF(ISBLANK(Wrażliwość!F41),"brak",Wrażliwość!F41)</f>
        <v>brak</v>
      </c>
    </row>
    <row r="55" spans="2:8" ht="30" customHeight="1">
      <c r="B55" s="9" t="s">
        <v>337</v>
      </c>
      <c r="C55" s="33" t="str">
        <f t="shared" si="0"/>
        <v>brak</v>
      </c>
      <c r="D55" s="10" t="str">
        <f>IF(ISBLANK(Wrażliwość!D42),"brak",Wrażliwość!D42)</f>
        <v>brak</v>
      </c>
      <c r="E55" s="33" t="str">
        <f t="shared" si="1"/>
        <v>brak</v>
      </c>
      <c r="F55" s="10" t="str">
        <f>IF(ISBLANK(Wrażliwość!E42),"brak",Wrażliwość!E42)</f>
        <v>brak</v>
      </c>
      <c r="G55" s="33" t="str">
        <f t="shared" si="2"/>
        <v>brak</v>
      </c>
      <c r="H55" s="10" t="str">
        <f>IF(ISBLANK(Wrażliwość!F42),"brak",Wrażliwość!F42)</f>
        <v>brak</v>
      </c>
    </row>
    <row r="56" spans="2:8" ht="30" customHeight="1">
      <c r="B56" s="9" t="s">
        <v>380</v>
      </c>
      <c r="C56" s="33" t="str">
        <f t="shared" si="0"/>
        <v>brak</v>
      </c>
      <c r="D56" s="10" t="str">
        <f>IF(ISBLANK(Wrażliwość!D43),"brak",Wrażliwość!D43)</f>
        <v>brak</v>
      </c>
      <c r="E56" s="33" t="str">
        <f t="shared" si="1"/>
        <v>brak</v>
      </c>
      <c r="F56" s="10" t="str">
        <f>IF(ISBLANK(Wrażliwość!E43),"brak",Wrażliwość!E43)</f>
        <v>brak</v>
      </c>
      <c r="G56" s="33" t="str">
        <f t="shared" si="2"/>
        <v>brak</v>
      </c>
      <c r="H56" s="10" t="str">
        <f>IF(ISBLANK(Wrażliwość!F43),"brak",Wrażliwość!F43)</f>
        <v>brak</v>
      </c>
    </row>
    <row r="59" spans="2:8">
      <c r="B59" s="108" t="s">
        <v>66</v>
      </c>
      <c r="C59" s="109"/>
      <c r="D59" s="109"/>
      <c r="E59" s="110"/>
    </row>
    <row r="60" spans="2:8">
      <c r="B60" s="72"/>
      <c r="C60" s="73" t="s">
        <v>298</v>
      </c>
      <c r="D60" s="73" t="s">
        <v>266</v>
      </c>
      <c r="E60" s="73" t="s">
        <v>278</v>
      </c>
    </row>
    <row r="61" spans="2:8">
      <c r="B61" s="34" t="s">
        <v>12</v>
      </c>
      <c r="C61" s="34" t="str">
        <f>IF(Wrażliwość!M12="","brak",Wrażliwość!M12)</f>
        <v>brak</v>
      </c>
      <c r="D61" s="34" t="str">
        <f>IF(Wrażliwość!N12="","brak",Wrażliwość!N12)</f>
        <v>brak</v>
      </c>
      <c r="E61" s="34" t="str">
        <f>IF(Wrażliwość!O12="","brak",Wrażliwość!O12)</f>
        <v>brak</v>
      </c>
    </row>
    <row r="62" spans="2:8">
      <c r="B62" s="34" t="s">
        <v>34</v>
      </c>
      <c r="C62" s="34" t="str">
        <f>IF(Wrażliwość!M13="","brak",Wrażliwość!M13)</f>
        <v>brak</v>
      </c>
      <c r="D62" s="34" t="str">
        <f>IF(Wrażliwość!N13="","brak",Wrażliwość!N13)</f>
        <v>brak</v>
      </c>
      <c r="E62" s="34" t="str">
        <f>IF(Wrażliwość!O13="","brak",Wrażliwość!O13)</f>
        <v>brak</v>
      </c>
    </row>
    <row r="63" spans="2:8">
      <c r="B63" s="34" t="s">
        <v>50</v>
      </c>
      <c r="C63" s="34" t="str">
        <f>IF(Wrażliwość!M14="","brak",Wrażliwość!M14)</f>
        <v>brak</v>
      </c>
      <c r="D63" s="34" t="str">
        <f>IF(Wrażliwość!N14="","brak",Wrażliwość!N14)</f>
        <v>brak</v>
      </c>
      <c r="E63" s="34" t="str">
        <f>IF(Wrażliwość!O14="","brak",Wrażliwość!O14)</f>
        <v>brak</v>
      </c>
    </row>
    <row r="64" spans="2:8">
      <c r="B64" s="34" t="s">
        <v>68</v>
      </c>
      <c r="C64" s="34" t="str">
        <f>IF(Wrażliwość!M15="","brak",Wrażliwość!M15)</f>
        <v>brak</v>
      </c>
      <c r="D64" s="34" t="str">
        <f>IF(Wrażliwość!N15="","brak",Wrażliwość!N15)</f>
        <v>brak</v>
      </c>
      <c r="E64" s="34" t="str">
        <f>IF(Wrażliwość!O15="","brak",Wrażliwość!O15)</f>
        <v>brak</v>
      </c>
    </row>
    <row r="65" spans="2:5">
      <c r="B65" s="34" t="s">
        <v>69</v>
      </c>
      <c r="C65" s="34" t="str">
        <f>IF(Wrażliwość!M16="","brak",Wrażliwość!M16)</f>
        <v>brak</v>
      </c>
      <c r="D65" s="34" t="str">
        <f>IF(Wrażliwość!N16="","brak",Wrażliwość!N16)</f>
        <v>brak</v>
      </c>
      <c r="E65" s="34" t="str">
        <f>IF(Wrażliwość!O16="","brak",Wrażliwość!O16)</f>
        <v>brak</v>
      </c>
    </row>
    <row r="68" spans="2:5">
      <c r="B68" s="108" t="s">
        <v>414</v>
      </c>
      <c r="C68" s="109"/>
      <c r="D68" s="110"/>
    </row>
    <row r="69" spans="2:5">
      <c r="B69" s="34"/>
      <c r="C69" s="34"/>
      <c r="D69" s="34"/>
    </row>
    <row r="70" spans="2:5">
      <c r="B70" s="34" t="s">
        <v>247</v>
      </c>
      <c r="C70" s="78" t="s">
        <v>400</v>
      </c>
      <c r="D70" s="93">
        <f>INDEX(KorzysciEkonomiczne!E33:AB33,MATCH(Założenia!D48,KorzysciEkonomiczne!E1:AB1, 0))</f>
        <v>841.17935999999997</v>
      </c>
    </row>
    <row r="71" spans="2:5">
      <c r="B71" s="34" t="s">
        <v>248</v>
      </c>
      <c r="C71" s="78" t="s">
        <v>400</v>
      </c>
      <c r="D71" s="93">
        <f>INDEX(KorzysciEkonomiczne!E34:AB34,MATCH(Założenia!D48,KorzysciEkonomiczne!E1:AB1, 0))</f>
        <v>620.78353057040613</v>
      </c>
    </row>
    <row r="72" spans="2:5">
      <c r="B72" s="77" t="s">
        <v>249</v>
      </c>
      <c r="C72" s="22" t="s">
        <v>400</v>
      </c>
      <c r="D72" s="80">
        <f>D70-D71</f>
        <v>220.39582942959385</v>
      </c>
    </row>
    <row r="73" spans="2:5">
      <c r="B73" s="34"/>
      <c r="C73" s="34"/>
      <c r="D73" s="34"/>
    </row>
    <row r="74" spans="2:5">
      <c r="B74" s="108" t="s">
        <v>413</v>
      </c>
      <c r="C74" s="97"/>
      <c r="D74" s="98"/>
    </row>
    <row r="75" spans="2:5">
      <c r="B75" s="34"/>
      <c r="C75" s="34"/>
      <c r="D75" s="34"/>
    </row>
    <row r="76" spans="2:5" ht="41.25" customHeight="1">
      <c r="B76" s="81" t="s">
        <v>397</v>
      </c>
      <c r="C76" s="82" t="s">
        <v>17</v>
      </c>
      <c r="D76" s="83">
        <f>KorzysciEkonomiczne!C77</f>
        <v>41461305.300454222</v>
      </c>
    </row>
    <row r="77" spans="2:5" ht="41.25" customHeight="1">
      <c r="B77" s="81" t="s">
        <v>398</v>
      </c>
      <c r="C77" s="82" t="s">
        <v>17</v>
      </c>
      <c r="D77" s="83">
        <f>KorzysciEkonomiczne!C78</f>
        <v>11468715.603750352</v>
      </c>
      <c r="E77" s="7"/>
    </row>
    <row r="78" spans="2:5" ht="81.75" customHeight="1">
      <c r="B78" s="81" t="s">
        <v>395</v>
      </c>
      <c r="C78" s="82"/>
      <c r="D78" s="83">
        <f>KorzysciEkonomiczne!C79</f>
        <v>3.6151655279424735</v>
      </c>
    </row>
    <row r="81" spans="2:32">
      <c r="B81" s="99" t="s">
        <v>467</v>
      </c>
      <c r="C81" s="100"/>
      <c r="D81" s="100"/>
      <c r="E81" s="100"/>
      <c r="F81" s="100"/>
      <c r="G81" s="100"/>
      <c r="H81" s="101"/>
      <c r="I81" s="34">
        <f>KorzysciEkonomiczne!E1</f>
        <v>2024</v>
      </c>
      <c r="J81" s="34">
        <f>KorzysciEkonomiczne!F1</f>
        <v>2025</v>
      </c>
      <c r="K81" s="34">
        <f>KorzysciEkonomiczne!G1</f>
        <v>2026</v>
      </c>
      <c r="L81" s="34">
        <f>KorzysciEkonomiczne!H1</f>
        <v>2027</v>
      </c>
      <c r="M81" s="34">
        <f>KorzysciEkonomiczne!I1</f>
        <v>2028</v>
      </c>
      <c r="N81" s="34">
        <f>KorzysciEkonomiczne!J1</f>
        <v>2029</v>
      </c>
      <c r="O81" s="34">
        <f>KorzysciEkonomiczne!K1</f>
        <v>2030</v>
      </c>
      <c r="P81" s="34">
        <f>KorzysciEkonomiczne!L1</f>
        <v>2031</v>
      </c>
      <c r="Q81" s="34">
        <f>KorzysciEkonomiczne!M1</f>
        <v>2032</v>
      </c>
      <c r="R81" s="34">
        <f>KorzysciEkonomiczne!N1</f>
        <v>2033</v>
      </c>
      <c r="S81" s="34">
        <f>KorzysciEkonomiczne!O1</f>
        <v>2034</v>
      </c>
      <c r="T81" s="34">
        <f>KorzysciEkonomiczne!P1</f>
        <v>2035</v>
      </c>
      <c r="U81" s="34">
        <f>KorzysciEkonomiczne!Q1</f>
        <v>2036</v>
      </c>
      <c r="V81" s="34">
        <f>KorzysciEkonomiczne!R1</f>
        <v>2037</v>
      </c>
      <c r="W81" s="34">
        <f>KorzysciEkonomiczne!S1</f>
        <v>2038</v>
      </c>
      <c r="X81" s="34">
        <f>KorzysciEkonomiczne!T1</f>
        <v>2039</v>
      </c>
      <c r="Y81" s="34">
        <f>KorzysciEkonomiczne!U1</f>
        <v>2040</v>
      </c>
      <c r="Z81" s="34">
        <f>KorzysciEkonomiczne!V1</f>
        <v>2041</v>
      </c>
      <c r="AA81" s="34">
        <f>KorzysciEkonomiczne!W1</f>
        <v>2042</v>
      </c>
      <c r="AB81" s="34">
        <f>KorzysciEkonomiczne!X1</f>
        <v>2043</v>
      </c>
      <c r="AC81" s="34">
        <f>KorzysciEkonomiczne!Y1</f>
        <v>2044</v>
      </c>
      <c r="AD81" s="34">
        <f>KorzysciEkonomiczne!Z1</f>
        <v>2045</v>
      </c>
      <c r="AE81" s="34">
        <f>KorzysciEkonomiczne!AA1</f>
        <v>2046</v>
      </c>
      <c r="AF81" s="34">
        <f>KorzysciEkonomiczne!AB1</f>
        <v>2047</v>
      </c>
    </row>
    <row r="82" spans="2:32" ht="21" customHeight="1">
      <c r="B82" s="102" t="s">
        <v>470</v>
      </c>
      <c r="C82" s="103"/>
      <c r="D82" s="105" t="s">
        <v>473</v>
      </c>
      <c r="E82" s="106"/>
      <c r="F82" s="106"/>
      <c r="G82" s="106"/>
      <c r="H82" s="107"/>
      <c r="I82" s="96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8"/>
    </row>
    <row r="83" spans="2:32">
      <c r="B83" s="94" t="s">
        <v>468</v>
      </c>
      <c r="C83" s="95">
        <f>AVERAGE(I83:AF83)</f>
        <v>488.10328585785675</v>
      </c>
      <c r="D83" s="34"/>
      <c r="E83" s="34"/>
      <c r="F83" s="34"/>
      <c r="G83" s="34"/>
      <c r="H83" s="34"/>
      <c r="I83" s="124" t="str">
        <f>IF(AND(I$81&gt;=Założenia!$D$48,I$81&lt;=Założenia!$D$16),KorzysciEkonomiczne!E$34,"")</f>
        <v/>
      </c>
      <c r="J83" s="124" t="str">
        <f>IF(AND(J$81&gt;=Założenia!$D$48,J$81&lt;=Założenia!$D$16),KorzysciEkonomiczne!F$34,"")</f>
        <v/>
      </c>
      <c r="K83" s="124" t="str">
        <f>IF(AND(K$81&gt;=Założenia!$D$48,K$81&lt;=Założenia!$D$16),KorzysciEkonomiczne!G$34,"")</f>
        <v/>
      </c>
      <c r="L83" s="124" t="str">
        <f>IF(AND(L$81&gt;=Założenia!$D$48,L$81&lt;=Założenia!$D$16),KorzysciEkonomiczne!H$34,"")</f>
        <v/>
      </c>
      <c r="M83" s="124" t="str">
        <f>IF(AND(M$81&gt;=Założenia!$D$48,M$81&lt;=Założenia!$D$16),KorzysciEkonomiczne!I$34,"")</f>
        <v/>
      </c>
      <c r="N83" s="124">
        <f>IF(AND(N$81&gt;=Założenia!$D$48,N$81&lt;=Założenia!$D$16),KorzysciEkonomiczne!J$34,"")</f>
        <v>620.78353057040613</v>
      </c>
      <c r="O83" s="124">
        <f>IF(AND(O$81&gt;=Założenia!$D$48,O$81&lt;=Założenia!$D$16),KorzysciEkonomiczne!K$34,"")</f>
        <v>606.84129040798121</v>
      </c>
      <c r="P83" s="124">
        <f>IF(AND(P$81&gt;=Założenia!$D$48,P$81&lt;=Założenia!$D$16),KorzysciEkonomiczne!L$34,"")</f>
        <v>579.03779906022567</v>
      </c>
      <c r="Q83" s="124">
        <f>IF(AND(Q$81&gt;=Założenia!$D$48,Q$81&lt;=Założenia!$D$16),KorzysciEkonomiczne!M$34,"")</f>
        <v>551.23430771247024</v>
      </c>
      <c r="R83" s="124">
        <f>IF(AND(R$81&gt;=Założenia!$D$48,R$81&lt;=Założenia!$D$16),KorzysciEkonomiczne!N$34,"")</f>
        <v>523.4308163647147</v>
      </c>
      <c r="S83" s="124">
        <f>IF(AND(S$81&gt;=Założenia!$D$48,S$81&lt;=Założenia!$D$16),KorzysciEkonomiczne!O$34,"")</f>
        <v>495.62732501695928</v>
      </c>
      <c r="T83" s="124">
        <f>IF(AND(T$81&gt;=Założenia!$D$48,T$81&lt;=Założenia!$D$16),KorzysciEkonomiczne!P$34,"")</f>
        <v>467.82383366920391</v>
      </c>
      <c r="U83" s="124">
        <f>IF(AND(U$81&gt;=Założenia!$D$48,U$81&lt;=Założenia!$D$16),KorzysciEkonomiczne!Q$34,"")</f>
        <v>452.50487423595155</v>
      </c>
      <c r="V83" s="124">
        <f>IF(AND(V$81&gt;=Założenia!$D$48,V$81&lt;=Założenia!$D$16),KorzysciEkonomiczne!R$34,"")</f>
        <v>437.18591480269924</v>
      </c>
      <c r="W83" s="124">
        <f>IF(AND(W$81&gt;=Założenia!$D$48,W$81&lt;=Założenia!$D$16),KorzysciEkonomiczne!S$34,"")</f>
        <v>421.86695536944694</v>
      </c>
      <c r="X83" s="124">
        <f>IF(AND(X$81&gt;=Założenia!$D$48,X$81&lt;=Założenia!$D$16),KorzysciEkonomiczne!T$34,"")</f>
        <v>406.54799593619458</v>
      </c>
      <c r="Y83" s="124">
        <f>IF(AND(Y$81&gt;=Założenia!$D$48,Y$81&lt;=Założenia!$D$16),KorzysciEkonomiczne!U$34,"")</f>
        <v>391.22903650294234</v>
      </c>
      <c r="Z83" s="124">
        <f>IF(AND(Z$81&gt;=Założenia!$D$48,Z$81&lt;=Założenia!$D$16),KorzysciEkonomiczne!V$34,"")</f>
        <v>391.22903650294234</v>
      </c>
      <c r="AA83" s="124" t="str">
        <f>IF(AND(AA$81&gt;=Założenia!$D$48,AA$81&lt;=Założenia!$D$16),KorzysciEkonomiczne!W$34,"")</f>
        <v/>
      </c>
      <c r="AB83" s="124" t="str">
        <f>IF(AND(AB$81&gt;=Założenia!$D$48,AB$81&lt;=Założenia!$D$16),KorzysciEkonomiczne!X$34,"")</f>
        <v/>
      </c>
      <c r="AC83" s="124" t="str">
        <f>IF(AND(AC$81&gt;=Założenia!$D$48,AC$81&lt;=Założenia!$D$16),KorzysciEkonomiczne!Y$34,"")</f>
        <v/>
      </c>
      <c r="AD83" s="124" t="str">
        <f>IF(AND(AD$81&gt;=Założenia!$D$48,AD$81&lt;=Założenia!$D$16),KorzysciEkonomiczne!Z$34,"")</f>
        <v/>
      </c>
      <c r="AE83" s="124" t="str">
        <f>IF(AND(AE$81&gt;=Założenia!$D$48,AE$81&lt;=Założenia!$D$16),KorzysciEkonomiczne!AA$34,"")</f>
        <v/>
      </c>
      <c r="AF83" s="124" t="str">
        <f>IF(AND(AF$81&gt;=Założenia!$D$48,AF$81&lt;=Założenia!$D$16),KorzysciEkonomiczne!AB$34,"")</f>
        <v/>
      </c>
    </row>
    <row r="84" spans="2:32" ht="21" customHeight="1">
      <c r="B84" s="102" t="s">
        <v>472</v>
      </c>
      <c r="C84" s="104"/>
      <c r="D84" s="105" t="s">
        <v>469</v>
      </c>
      <c r="E84" s="106"/>
      <c r="F84" s="106"/>
      <c r="G84" s="106"/>
      <c r="H84" s="107"/>
      <c r="I84" s="96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8"/>
    </row>
    <row r="85" spans="2:32">
      <c r="B85" s="94" t="s">
        <v>75</v>
      </c>
      <c r="C85" s="93">
        <f>AVERAGE(I85:AF85)</f>
        <v>841.17935999999997</v>
      </c>
      <c r="D85" s="34"/>
      <c r="E85" s="34"/>
      <c r="F85" s="34"/>
      <c r="G85" s="34"/>
      <c r="H85" s="34"/>
      <c r="I85" s="124" t="str">
        <f>IF(AND(I$81&gt;=Założenia!$D$48,I$81&lt;=Założenia!$D$16),KorzysciEkonomiczne!E$33,"")</f>
        <v/>
      </c>
      <c r="J85" s="124" t="str">
        <f>IF(AND(J$81&gt;=Założenia!$D$48,J$81&lt;=Założenia!$D$16),KorzysciEkonomiczne!F$33,"")</f>
        <v/>
      </c>
      <c r="K85" s="124" t="str">
        <f>IF(AND(K$81&gt;=Założenia!$D$48,K$81&lt;=Założenia!$D$16),KorzysciEkonomiczne!G$33,"")</f>
        <v/>
      </c>
      <c r="L85" s="124" t="str">
        <f>IF(AND(L$81&gt;=Założenia!$D$48,L$81&lt;=Założenia!$D$16),KorzysciEkonomiczne!H$33,"")</f>
        <v/>
      </c>
      <c r="M85" s="124" t="str">
        <f>IF(AND(M$81&gt;=Założenia!$D$48,M$81&lt;=Założenia!$D$16),KorzysciEkonomiczne!I$33,"")</f>
        <v/>
      </c>
      <c r="N85" s="124">
        <f>IF(AND(N$81&gt;=Założenia!$D$48,N$81&lt;=Założenia!$D$16),KorzysciEkonomiczne!J$33,"")</f>
        <v>841.17935999999997</v>
      </c>
      <c r="O85" s="124">
        <f>IF(AND(O$81&gt;=Założenia!$D$48,O$81&lt;=Założenia!$D$16),KorzysciEkonomiczne!K$33,"")</f>
        <v>841.17935999999997</v>
      </c>
      <c r="P85" s="124">
        <f>IF(AND(P$81&gt;=Założenia!$D$48,P$81&lt;=Założenia!$D$16),KorzysciEkonomiczne!L$33,"")</f>
        <v>841.17935999999997</v>
      </c>
      <c r="Q85" s="124">
        <f>IF(AND(Q$81&gt;=Założenia!$D$48,Q$81&lt;=Założenia!$D$16),KorzysciEkonomiczne!M$33,"")</f>
        <v>841.17935999999997</v>
      </c>
      <c r="R85" s="124">
        <f>IF(AND(R$81&gt;=Założenia!$D$48,R$81&lt;=Założenia!$D$16),KorzysciEkonomiczne!N$33,"")</f>
        <v>841.17935999999997</v>
      </c>
      <c r="S85" s="124">
        <f>IF(AND(S$81&gt;=Założenia!$D$48,S$81&lt;=Założenia!$D$16),KorzysciEkonomiczne!O$33,"")</f>
        <v>841.17935999999997</v>
      </c>
      <c r="T85" s="124">
        <f>IF(AND(T$81&gt;=Założenia!$D$48,T$81&lt;=Założenia!$D$16),KorzysciEkonomiczne!P$33,"")</f>
        <v>841.17935999999997</v>
      </c>
      <c r="U85" s="124">
        <f>IF(AND(U$81&gt;=Założenia!$D$48,U$81&lt;=Założenia!$D$16),KorzysciEkonomiczne!Q$33,"")</f>
        <v>841.17935999999997</v>
      </c>
      <c r="V85" s="124">
        <f>IF(AND(V$81&gt;=Założenia!$D$48,V$81&lt;=Założenia!$D$16),KorzysciEkonomiczne!R$33,"")</f>
        <v>841.17935999999997</v>
      </c>
      <c r="W85" s="124">
        <f>IF(AND(W$81&gt;=Założenia!$D$48,W$81&lt;=Założenia!$D$16),KorzysciEkonomiczne!S$33,"")</f>
        <v>841.17935999999997</v>
      </c>
      <c r="X85" s="124">
        <f>IF(AND(X$81&gt;=Założenia!$D$48,X$81&lt;=Założenia!$D$16),KorzysciEkonomiczne!T$33,"")</f>
        <v>841.17935999999997</v>
      </c>
      <c r="Y85" s="124">
        <f>IF(AND(Y$81&gt;=Założenia!$D$48,Y$81&lt;=Założenia!$D$16),KorzysciEkonomiczne!U$33,"")</f>
        <v>841.17935999999997</v>
      </c>
      <c r="Z85" s="124">
        <f>IF(AND(Z$81&gt;=Założenia!$D$48,Z$81&lt;=Założenia!$D$16),KorzysciEkonomiczne!V$33,"")</f>
        <v>841.17935999999997</v>
      </c>
      <c r="AA85" s="124" t="str">
        <f>IF(AND(AA$81&gt;=Założenia!$D$48,AA$81&lt;=Założenia!$D$16),KorzysciEkonomiczne!W$33,"")</f>
        <v/>
      </c>
      <c r="AB85" s="124" t="str">
        <f>IF(AND(AB$81&gt;=Założenia!$D$48,AB$81&lt;=Założenia!$D$16),KorzysciEkonomiczne!X$33,"")</f>
        <v/>
      </c>
      <c r="AC85" s="124" t="str">
        <f>IF(AND(AC$81&gt;=Założenia!$D$48,AC$81&lt;=Założenia!$D$16),KorzysciEkonomiczne!Y$33,"")</f>
        <v/>
      </c>
      <c r="AD85" s="124" t="str">
        <f>IF(AND(AD$81&gt;=Założenia!$D$48,AD$81&lt;=Założenia!$D$16),KorzysciEkonomiczne!Z$33,"")</f>
        <v/>
      </c>
      <c r="AE85" s="124" t="str">
        <f>IF(AND(AE$81&gt;=Założenia!$D$48,AE$81&lt;=Założenia!$D$16),KorzysciEkonomiczne!AA$33,"")</f>
        <v/>
      </c>
      <c r="AF85" s="124" t="str">
        <f>IF(AND(AF$81&gt;=Założenia!$D$48,AF$81&lt;=Założenia!$D$16),KorzysciEkonomiczne!AB$33,"")</f>
        <v/>
      </c>
    </row>
    <row r="86" spans="2:32">
      <c r="B86" s="94" t="s">
        <v>468</v>
      </c>
      <c r="C86" s="93">
        <f>AVERAGE(I86:AF86)</f>
        <v>488.10328585785675</v>
      </c>
      <c r="D86" s="34"/>
      <c r="E86" s="34"/>
      <c r="F86" s="34"/>
      <c r="G86" s="34"/>
      <c r="H86" s="34"/>
      <c r="I86" s="124" t="str">
        <f>IF(AND(I$81&gt;=Założenia!$D$48,I$81&lt;=Założenia!$D$16),KorzysciEkonomiczne!E$34,"")</f>
        <v/>
      </c>
      <c r="J86" s="124" t="str">
        <f>IF(AND(J$81&gt;=Założenia!$D$48,J$81&lt;=Założenia!$D$16),KorzysciEkonomiczne!F$34,"")</f>
        <v/>
      </c>
      <c r="K86" s="124" t="str">
        <f>IF(AND(K$81&gt;=Założenia!$D$48,K$81&lt;=Założenia!$D$16),KorzysciEkonomiczne!G$34,"")</f>
        <v/>
      </c>
      <c r="L86" s="124" t="str">
        <f>IF(AND(L$81&gt;=Założenia!$D$48,L$81&lt;=Założenia!$D$16),KorzysciEkonomiczne!H$34,"")</f>
        <v/>
      </c>
      <c r="M86" s="124" t="str">
        <f>IF(AND(M$81&gt;=Założenia!$D$48,M$81&lt;=Założenia!$D$16),KorzysciEkonomiczne!I$34,"")</f>
        <v/>
      </c>
      <c r="N86" s="124">
        <f>IF(AND(N$81&gt;=Założenia!$D$48,N$81&lt;=Założenia!$D$16),KorzysciEkonomiczne!J$34,"")</f>
        <v>620.78353057040613</v>
      </c>
      <c r="O86" s="124">
        <f>IF(AND(O$81&gt;=Założenia!$D$48,O$81&lt;=Założenia!$D$16),KorzysciEkonomiczne!K$34,"")</f>
        <v>606.84129040798121</v>
      </c>
      <c r="P86" s="124">
        <f>IF(AND(P$81&gt;=Założenia!$D$48,P$81&lt;=Założenia!$D$16),KorzysciEkonomiczne!L$34,"")</f>
        <v>579.03779906022567</v>
      </c>
      <c r="Q86" s="124">
        <f>IF(AND(Q$81&gt;=Założenia!$D$48,Q$81&lt;=Założenia!$D$16),KorzysciEkonomiczne!M$34,"")</f>
        <v>551.23430771247024</v>
      </c>
      <c r="R86" s="124">
        <f>IF(AND(R$81&gt;=Założenia!$D$48,R$81&lt;=Założenia!$D$16),KorzysciEkonomiczne!N$34,"")</f>
        <v>523.4308163647147</v>
      </c>
      <c r="S86" s="124">
        <f>IF(AND(S$81&gt;=Założenia!$D$48,S$81&lt;=Założenia!$D$16),KorzysciEkonomiczne!O$34,"")</f>
        <v>495.62732501695928</v>
      </c>
      <c r="T86" s="124">
        <f>IF(AND(T$81&gt;=Założenia!$D$48,T$81&lt;=Założenia!$D$16),KorzysciEkonomiczne!P$34,"")</f>
        <v>467.82383366920391</v>
      </c>
      <c r="U86" s="124">
        <f>IF(AND(U$81&gt;=Założenia!$D$48,U$81&lt;=Założenia!$D$16),KorzysciEkonomiczne!Q$34,"")</f>
        <v>452.50487423595155</v>
      </c>
      <c r="V86" s="124">
        <f>IF(AND(V$81&gt;=Założenia!$D$48,V$81&lt;=Założenia!$D$16),KorzysciEkonomiczne!R$34,"")</f>
        <v>437.18591480269924</v>
      </c>
      <c r="W86" s="124">
        <f>IF(AND(W$81&gt;=Założenia!$D$48,W$81&lt;=Założenia!$D$16),KorzysciEkonomiczne!S$34,"")</f>
        <v>421.86695536944694</v>
      </c>
      <c r="X86" s="124">
        <f>IF(AND(X$81&gt;=Założenia!$D$48,X$81&lt;=Założenia!$D$16),KorzysciEkonomiczne!T$34,"")</f>
        <v>406.54799593619458</v>
      </c>
      <c r="Y86" s="124">
        <f>IF(AND(Y$81&gt;=Założenia!$D$48,Y$81&lt;=Założenia!$D$16),KorzysciEkonomiczne!U$34,"")</f>
        <v>391.22903650294234</v>
      </c>
      <c r="Z86" s="124">
        <f>IF(AND(Z$81&gt;=Założenia!$D$48,Z$81&lt;=Założenia!$D$16),KorzysciEkonomiczne!V$34,"")</f>
        <v>391.22903650294234</v>
      </c>
      <c r="AA86" s="124" t="str">
        <f>IF(AND(AA$81&gt;=Założenia!$D$48,AA$81&lt;=Założenia!$D$16),KorzysciEkonomiczne!W$34,"")</f>
        <v/>
      </c>
      <c r="AB86" s="124" t="str">
        <f>IF(AND(AB$81&gt;=Założenia!$D$48,AB$81&lt;=Założenia!$D$16),KorzysciEkonomiczne!X$34,"")</f>
        <v/>
      </c>
      <c r="AC86" s="124" t="str">
        <f>IF(AND(AC$81&gt;=Założenia!$D$48,AC$81&lt;=Założenia!$D$16),KorzysciEkonomiczne!Y$34,"")</f>
        <v/>
      </c>
      <c r="AD86" s="124" t="str">
        <f>IF(AND(AD$81&gt;=Założenia!$D$48,AD$81&lt;=Założenia!$D$16),KorzysciEkonomiczne!Z$34,"")</f>
        <v/>
      </c>
      <c r="AE86" s="124" t="str">
        <f>IF(AND(AE$81&gt;=Założenia!$D$48,AE$81&lt;=Założenia!$D$16),KorzysciEkonomiczne!AA$34,"")</f>
        <v/>
      </c>
      <c r="AF86" s="124" t="str">
        <f>IF(AND(AF$81&gt;=Założenia!$D$48,AF$81&lt;=Założenia!$D$16),KorzysciEkonomiczne!AB$34,"")</f>
        <v/>
      </c>
    </row>
    <row r="87" spans="2:32">
      <c r="B87" s="94" t="s">
        <v>471</v>
      </c>
      <c r="C87" s="95">
        <f>C86-C85</f>
        <v>-353.07607414214323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</row>
  </sheetData>
  <mergeCells count="13">
    <mergeCell ref="B2:D2"/>
    <mergeCell ref="B17:H17"/>
    <mergeCell ref="B59:E59"/>
    <mergeCell ref="B74:D74"/>
    <mergeCell ref="B68:D68"/>
    <mergeCell ref="B8:D8"/>
    <mergeCell ref="I84:AF84"/>
    <mergeCell ref="I82:AF82"/>
    <mergeCell ref="B81:H81"/>
    <mergeCell ref="B82:C82"/>
    <mergeCell ref="B84:C84"/>
    <mergeCell ref="D84:H84"/>
    <mergeCell ref="D82:H82"/>
  </mergeCells>
  <conditionalFormatting sqref="B19:C56 E19:E56 G19:G56">
    <cfRule type="expression" dxfId="0" priority="2" stopIfTrue="1">
      <formula>"g10"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180"/>
  <sheetViews>
    <sheetView workbookViewId="0"/>
  </sheetViews>
  <sheetFormatPr defaultRowHeight="14.4"/>
  <cols>
    <col min="1" max="1" width="62.6640625" customWidth="1"/>
    <col min="2" max="2" width="11.5546875" style="13" bestFit="1" customWidth="1"/>
    <col min="4" max="29" width="13.6640625" customWidth="1"/>
    <col min="30" max="35" width="12.6640625" customWidth="1"/>
    <col min="36" max="38" width="11.44140625" bestFit="1" customWidth="1"/>
  </cols>
  <sheetData>
    <row r="1" spans="1:29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  <c r="AC1" s="4"/>
    </row>
    <row r="3" spans="1:29">
      <c r="A3" t="s">
        <v>0</v>
      </c>
      <c r="B3" s="13" t="s">
        <v>18</v>
      </c>
      <c r="D3" s="5" t="s">
        <v>341</v>
      </c>
      <c r="E3" s="5"/>
      <c r="F3" s="5"/>
      <c r="G3" s="5"/>
      <c r="H3" s="5"/>
      <c r="I3" s="5"/>
    </row>
    <row r="5" spans="1:29">
      <c r="A5" s="4" t="s">
        <v>11</v>
      </c>
    </row>
    <row r="7" spans="1:29">
      <c r="A7" t="s">
        <v>19</v>
      </c>
      <c r="B7" s="13" t="s">
        <v>13</v>
      </c>
      <c r="D7" s="1">
        <v>0.23</v>
      </c>
    </row>
    <row r="8" spans="1:29">
      <c r="A8" t="s">
        <v>6</v>
      </c>
      <c r="B8" s="13" t="s">
        <v>13</v>
      </c>
      <c r="D8" s="2">
        <v>0.04</v>
      </c>
    </row>
    <row r="9" spans="1:29">
      <c r="A9" t="s">
        <v>7</v>
      </c>
      <c r="B9" s="13" t="s">
        <v>13</v>
      </c>
      <c r="D9" s="2">
        <v>0.03</v>
      </c>
    </row>
    <row r="10" spans="1:29">
      <c r="A10" t="s">
        <v>9</v>
      </c>
    </row>
    <row r="11" spans="1:29">
      <c r="A11" s="3" t="s">
        <v>32</v>
      </c>
      <c r="B11" s="13" t="s">
        <v>14</v>
      </c>
      <c r="D11">
        <v>0.87</v>
      </c>
    </row>
    <row r="12" spans="1:29">
      <c r="A12" s="3" t="s">
        <v>33</v>
      </c>
      <c r="B12" s="13" t="s">
        <v>14</v>
      </c>
      <c r="D12">
        <v>0.83</v>
      </c>
    </row>
    <row r="13" spans="1:29">
      <c r="A13" s="3" t="s">
        <v>10</v>
      </c>
      <c r="B13" s="13" t="s">
        <v>14</v>
      </c>
      <c r="D13">
        <v>0.81</v>
      </c>
    </row>
    <row r="14" spans="1:29">
      <c r="A14" t="s">
        <v>1</v>
      </c>
      <c r="B14" s="13" t="s">
        <v>15</v>
      </c>
      <c r="D14" s="5">
        <v>2027</v>
      </c>
    </row>
    <row r="15" spans="1:29">
      <c r="A15" t="s">
        <v>8</v>
      </c>
      <c r="B15" s="13" t="s">
        <v>15</v>
      </c>
      <c r="D15">
        <v>15</v>
      </c>
    </row>
    <row r="16" spans="1:29">
      <c r="A16" s="3" t="s">
        <v>273</v>
      </c>
      <c r="B16" s="13" t="s">
        <v>15</v>
      </c>
      <c r="D16">
        <f>D14+D15-1</f>
        <v>2041</v>
      </c>
    </row>
    <row r="17" spans="1:29">
      <c r="A17" s="16" t="s">
        <v>460</v>
      </c>
      <c r="B17" s="13" t="s">
        <v>15</v>
      </c>
      <c r="D17">
        <v>15</v>
      </c>
    </row>
    <row r="18" spans="1:29">
      <c r="A18" t="s">
        <v>4</v>
      </c>
      <c r="B18" s="13" t="s">
        <v>15</v>
      </c>
      <c r="E18">
        <f t="shared" ref="E18:AB18" si="0">IF(((E1&gt;=$D$14)*(E1-$D$14))&gt;=$D$15,"nie wliczać",(E1&gt;=$D$14)*(E1-$D$14))</f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1</v>
      </c>
      <c r="J18">
        <f t="shared" si="0"/>
        <v>2</v>
      </c>
      <c r="K18">
        <f t="shared" si="0"/>
        <v>3</v>
      </c>
      <c r="L18">
        <f t="shared" si="0"/>
        <v>4</v>
      </c>
      <c r="M18">
        <f t="shared" si="0"/>
        <v>5</v>
      </c>
      <c r="N18">
        <f t="shared" si="0"/>
        <v>6</v>
      </c>
      <c r="O18">
        <f t="shared" si="0"/>
        <v>7</v>
      </c>
      <c r="P18">
        <f t="shared" si="0"/>
        <v>8</v>
      </c>
      <c r="Q18">
        <f t="shared" si="0"/>
        <v>9</v>
      </c>
      <c r="R18">
        <f t="shared" si="0"/>
        <v>10</v>
      </c>
      <c r="S18">
        <f t="shared" si="0"/>
        <v>11</v>
      </c>
      <c r="T18">
        <f t="shared" si="0"/>
        <v>12</v>
      </c>
      <c r="U18">
        <f t="shared" si="0"/>
        <v>13</v>
      </c>
      <c r="V18">
        <f t="shared" si="0"/>
        <v>14</v>
      </c>
      <c r="W18" t="str">
        <f t="shared" si="0"/>
        <v>nie wliczać</v>
      </c>
      <c r="X18" t="str">
        <f t="shared" si="0"/>
        <v>nie wliczać</v>
      </c>
      <c r="Y18" t="str">
        <f t="shared" si="0"/>
        <v>nie wliczać</v>
      </c>
      <c r="Z18" t="str">
        <f t="shared" si="0"/>
        <v>nie wliczać</v>
      </c>
      <c r="AA18" t="str">
        <f t="shared" si="0"/>
        <v>nie wliczać</v>
      </c>
      <c r="AB18" t="str">
        <f t="shared" si="0"/>
        <v>nie wliczać</v>
      </c>
    </row>
    <row r="19" spans="1:29">
      <c r="A19" t="s">
        <v>42</v>
      </c>
      <c r="B19" s="13" t="s">
        <v>14</v>
      </c>
      <c r="E19" s="19">
        <f t="shared" ref="E19:AB19" si="1">IFERROR(1/(1+$D$8)^E$18,0)</f>
        <v>1</v>
      </c>
      <c r="F19" s="19">
        <f t="shared" si="1"/>
        <v>1</v>
      </c>
      <c r="G19" s="19">
        <f t="shared" si="1"/>
        <v>1</v>
      </c>
      <c r="H19" s="19">
        <f t="shared" si="1"/>
        <v>1</v>
      </c>
      <c r="I19" s="19">
        <f t="shared" si="1"/>
        <v>0.96153846153846145</v>
      </c>
      <c r="J19" s="19">
        <f t="shared" si="1"/>
        <v>0.92455621301775137</v>
      </c>
      <c r="K19" s="19">
        <f t="shared" si="1"/>
        <v>0.88899635867091487</v>
      </c>
      <c r="L19" s="19">
        <f t="shared" si="1"/>
        <v>0.85480419102972571</v>
      </c>
      <c r="M19" s="19">
        <f t="shared" si="1"/>
        <v>0.82192710675935154</v>
      </c>
      <c r="N19" s="19">
        <f t="shared" si="1"/>
        <v>0.79031452573014571</v>
      </c>
      <c r="O19" s="19">
        <f t="shared" si="1"/>
        <v>0.75991781320206331</v>
      </c>
      <c r="P19" s="19">
        <f t="shared" si="1"/>
        <v>0.73069020500198378</v>
      </c>
      <c r="Q19" s="19">
        <f t="shared" si="1"/>
        <v>0.70258673557883045</v>
      </c>
      <c r="R19" s="19">
        <f t="shared" si="1"/>
        <v>0.67556416882579851</v>
      </c>
      <c r="S19" s="19">
        <f t="shared" si="1"/>
        <v>0.6495809315632679</v>
      </c>
      <c r="T19" s="19">
        <f t="shared" si="1"/>
        <v>0.62459704958006512</v>
      </c>
      <c r="U19" s="19">
        <f t="shared" si="1"/>
        <v>0.600574086134678</v>
      </c>
      <c r="V19" s="19">
        <f t="shared" si="1"/>
        <v>0.57747508282180582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/>
    </row>
    <row r="20" spans="1:29">
      <c r="A20" t="s">
        <v>43</v>
      </c>
      <c r="B20" s="13" t="s">
        <v>14</v>
      </c>
      <c r="E20" s="19">
        <f t="shared" ref="E20:AB20" si="2">IFERROR(1/(1+$D$9)^E$18,0)</f>
        <v>1</v>
      </c>
      <c r="F20" s="19">
        <f t="shared" si="2"/>
        <v>1</v>
      </c>
      <c r="G20" s="19">
        <f t="shared" si="2"/>
        <v>1</v>
      </c>
      <c r="H20" s="19">
        <f t="shared" si="2"/>
        <v>1</v>
      </c>
      <c r="I20" s="19">
        <f t="shared" si="2"/>
        <v>0.970873786407767</v>
      </c>
      <c r="J20" s="19">
        <f t="shared" si="2"/>
        <v>0.94259590913375435</v>
      </c>
      <c r="K20" s="19">
        <f t="shared" si="2"/>
        <v>0.91514165935315961</v>
      </c>
      <c r="L20" s="19">
        <f t="shared" si="2"/>
        <v>0.888487047915689</v>
      </c>
      <c r="M20" s="19">
        <f t="shared" si="2"/>
        <v>0.86260878438416411</v>
      </c>
      <c r="N20" s="19">
        <f t="shared" si="2"/>
        <v>0.83748425668365445</v>
      </c>
      <c r="O20" s="19">
        <f t="shared" si="2"/>
        <v>0.81309151134335378</v>
      </c>
      <c r="P20" s="19">
        <f t="shared" si="2"/>
        <v>0.78940923431393573</v>
      </c>
      <c r="Q20" s="19">
        <f t="shared" si="2"/>
        <v>0.76641673234362695</v>
      </c>
      <c r="R20" s="19">
        <f t="shared" si="2"/>
        <v>0.74409391489672516</v>
      </c>
      <c r="S20" s="19">
        <f t="shared" si="2"/>
        <v>0.72242127659876232</v>
      </c>
      <c r="T20" s="19">
        <f t="shared" si="2"/>
        <v>0.70137988019297326</v>
      </c>
      <c r="U20" s="19">
        <f t="shared" si="2"/>
        <v>0.68095133999317792</v>
      </c>
      <c r="V20" s="19">
        <f t="shared" si="2"/>
        <v>0.66111780581861923</v>
      </c>
      <c r="W20" s="19">
        <f t="shared" si="2"/>
        <v>0</v>
      </c>
      <c r="X20" s="19">
        <f t="shared" si="2"/>
        <v>0</v>
      </c>
      <c r="Y20" s="19">
        <f t="shared" si="2"/>
        <v>0</v>
      </c>
      <c r="Z20" s="19">
        <f t="shared" si="2"/>
        <v>0</v>
      </c>
      <c r="AA20" s="19">
        <f t="shared" si="2"/>
        <v>0</v>
      </c>
      <c r="AB20" s="19">
        <f t="shared" si="2"/>
        <v>0</v>
      </c>
      <c r="AC20" s="19"/>
    </row>
    <row r="21" spans="1:29">
      <c r="A21" t="s">
        <v>55</v>
      </c>
      <c r="B21" s="13" t="s">
        <v>13</v>
      </c>
      <c r="D21" s="1">
        <v>0.85</v>
      </c>
    </row>
    <row r="23" spans="1:29">
      <c r="A23" s="4" t="s">
        <v>48</v>
      </c>
    </row>
    <row r="24" spans="1:29">
      <c r="A24" t="s">
        <v>440</v>
      </c>
      <c r="B24" s="13" t="s">
        <v>49</v>
      </c>
      <c r="D24" s="6">
        <v>800000</v>
      </c>
    </row>
    <row r="25" spans="1:29">
      <c r="A25" t="s">
        <v>70</v>
      </c>
      <c r="B25" s="13" t="s">
        <v>16</v>
      </c>
      <c r="D25" s="47">
        <v>10</v>
      </c>
    </row>
    <row r="26" spans="1:29" ht="28.8">
      <c r="A26" s="20" t="s">
        <v>344</v>
      </c>
      <c r="B26" s="13" t="s">
        <v>13</v>
      </c>
      <c r="D26" s="1">
        <f>SUM(D27:D29)</f>
        <v>1</v>
      </c>
    </row>
    <row r="27" spans="1:29">
      <c r="A27" s="20" t="str">
        <f>CONCATENATE(" w tym ",$D$34)</f>
        <v xml:space="preserve"> w tym Typ 1</v>
      </c>
      <c r="D27" s="8">
        <v>0.4</v>
      </c>
    </row>
    <row r="28" spans="1:29">
      <c r="A28" s="20" t="str">
        <f>CONCATENATE(" w tym ",$E$34)</f>
        <v xml:space="preserve"> w tym Typ 2</v>
      </c>
      <c r="D28" s="8">
        <v>0.4</v>
      </c>
    </row>
    <row r="29" spans="1:29">
      <c r="A29" s="20" t="str">
        <f>CONCATENATE(" w tym ",$F$34)</f>
        <v xml:space="preserve"> w tym Typ 3</v>
      </c>
      <c r="D29" s="8">
        <v>0.2</v>
      </c>
    </row>
    <row r="30" spans="1:29" ht="28.8">
      <c r="A30" s="20" t="s">
        <v>360</v>
      </c>
      <c r="D30" s="1">
        <f>SUM(D31:D33)</f>
        <v>1</v>
      </c>
      <c r="E30" s="39" t="str">
        <f>IF(D30=D26," ","BŁĄD - praca przewozowa wykonywana przez autobusy zakupione musi być równa wykonywanej przez autobusy podlegające wymianie")</f>
        <v xml:space="preserve"> </v>
      </c>
    </row>
    <row r="31" spans="1:29">
      <c r="A31" s="20" t="str">
        <f>CONCATENATE(" w tym ",$D$35)</f>
        <v xml:space="preserve"> w tym Typ A</v>
      </c>
      <c r="D31" s="8">
        <v>0.3</v>
      </c>
    </row>
    <row r="32" spans="1:29">
      <c r="A32" s="20" t="str">
        <f>CONCATENATE(" w tym ",$E$35)</f>
        <v xml:space="preserve"> w tym Typ B</v>
      </c>
      <c r="D32" s="8">
        <v>0.3</v>
      </c>
    </row>
    <row r="33" spans="1:28">
      <c r="A33" s="20" t="str">
        <f>CONCATENATE(" w tym ",$F$35)</f>
        <v xml:space="preserve"> w tym Typ C</v>
      </c>
      <c r="D33" s="8">
        <v>0.4</v>
      </c>
    </row>
    <row r="34" spans="1:28">
      <c r="A34" s="20" t="s">
        <v>352</v>
      </c>
      <c r="D34" s="74" t="s">
        <v>348</v>
      </c>
      <c r="E34" s="74" t="s">
        <v>349</v>
      </c>
      <c r="F34" s="74" t="s">
        <v>350</v>
      </c>
    </row>
    <row r="35" spans="1:28">
      <c r="A35" s="20" t="s">
        <v>353</v>
      </c>
      <c r="D35" s="74" t="s">
        <v>354</v>
      </c>
      <c r="E35" s="74" t="s">
        <v>355</v>
      </c>
      <c r="F35" s="74" t="s">
        <v>356</v>
      </c>
    </row>
    <row r="37" spans="1:28">
      <c r="A37" s="4" t="s">
        <v>417</v>
      </c>
      <c r="B37" s="115" t="s">
        <v>464</v>
      </c>
      <c r="C37" s="115"/>
      <c r="D37" s="115"/>
      <c r="E37" s="115"/>
      <c r="F37" s="115"/>
      <c r="G37" s="115"/>
      <c r="H37" s="115"/>
      <c r="I37" s="115"/>
    </row>
    <row r="38" spans="1:28">
      <c r="A38" t="s">
        <v>5</v>
      </c>
      <c r="B38" s="13" t="s">
        <v>16</v>
      </c>
      <c r="D38" s="60">
        <f>D39+D41+D43</f>
        <v>10</v>
      </c>
    </row>
    <row r="39" spans="1:28">
      <c r="A39" t="str">
        <f>CONCATENATE($A$38," ",$D$35)</f>
        <v>Liczba kupowanych autobusów Typ A</v>
      </c>
      <c r="B39" s="13" t="s">
        <v>16</v>
      </c>
      <c r="D39" s="5">
        <v>4</v>
      </c>
    </row>
    <row r="40" spans="1:28">
      <c r="A40" t="str">
        <f>CONCATENATE("Koszt zakupu 1 autobusu netto ",$D$35)</f>
        <v>Koszt zakupu 1 autobusu netto Typ A</v>
      </c>
      <c r="B40" s="13" t="s">
        <v>17</v>
      </c>
      <c r="D40" s="6">
        <v>2000000</v>
      </c>
    </row>
    <row r="41" spans="1:28">
      <c r="A41" t="str">
        <f>CONCATENATE($A$38," ",$E$35)</f>
        <v>Liczba kupowanych autobusów Typ B</v>
      </c>
      <c r="B41" s="13" t="s">
        <v>16</v>
      </c>
      <c r="D41" s="47">
        <v>4</v>
      </c>
    </row>
    <row r="42" spans="1:28">
      <c r="A42" t="str">
        <f>CONCATENATE("Koszt zakupu 1 autobusu netto ",$E$35)</f>
        <v>Koszt zakupu 1 autobusu netto Typ B</v>
      </c>
      <c r="B42" s="13" t="s">
        <v>17</v>
      </c>
      <c r="D42" s="6">
        <v>2500000</v>
      </c>
    </row>
    <row r="43" spans="1:28">
      <c r="A43" t="str">
        <f>CONCATENATE($A$38," ",$F$35)</f>
        <v>Liczba kupowanych autobusów Typ C</v>
      </c>
      <c r="B43" s="13" t="s">
        <v>16</v>
      </c>
      <c r="D43" s="47">
        <v>2</v>
      </c>
    </row>
    <row r="44" spans="1:28">
      <c r="A44" t="str">
        <f>CONCATENATE("Koszt zakupu 1 autobusu netto ",$F$35)</f>
        <v>Koszt zakupu 1 autobusu netto Typ C</v>
      </c>
      <c r="B44" s="13" t="s">
        <v>17</v>
      </c>
      <c r="D44" s="6">
        <v>3000000</v>
      </c>
    </row>
    <row r="45" spans="1:28">
      <c r="A45" t="s">
        <v>27</v>
      </c>
      <c r="B45" s="13" t="s">
        <v>17</v>
      </c>
      <c r="D45" s="7">
        <f>D39*D40+D41*D42+D43*D44</f>
        <v>24000000</v>
      </c>
      <c r="F45" s="86" t="s">
        <v>465</v>
      </c>
    </row>
    <row r="46" spans="1:28">
      <c r="A46" t="s">
        <v>446</v>
      </c>
      <c r="B46" s="13" t="s">
        <v>16</v>
      </c>
      <c r="D46" s="7"/>
      <c r="F46" s="5">
        <v>0</v>
      </c>
      <c r="G46" s="5">
        <v>0</v>
      </c>
      <c r="H46" s="5">
        <v>5</v>
      </c>
      <c r="I46" s="5">
        <v>10</v>
      </c>
      <c r="J46" s="5">
        <v>10</v>
      </c>
      <c r="K46">
        <f>D38</f>
        <v>10</v>
      </c>
      <c r="L46">
        <f>K46</f>
        <v>10</v>
      </c>
      <c r="M46">
        <f t="shared" ref="M46:AB46" si="3">L46</f>
        <v>10</v>
      </c>
      <c r="N46">
        <f t="shared" si="3"/>
        <v>10</v>
      </c>
      <c r="O46">
        <f t="shared" si="3"/>
        <v>10</v>
      </c>
      <c r="P46">
        <f t="shared" si="3"/>
        <v>10</v>
      </c>
      <c r="Q46">
        <f t="shared" si="3"/>
        <v>10</v>
      </c>
      <c r="R46">
        <f t="shared" si="3"/>
        <v>10</v>
      </c>
      <c r="S46">
        <f t="shared" si="3"/>
        <v>10</v>
      </c>
      <c r="T46">
        <f t="shared" si="3"/>
        <v>10</v>
      </c>
      <c r="U46">
        <f t="shared" si="3"/>
        <v>10</v>
      </c>
      <c r="V46">
        <f t="shared" si="3"/>
        <v>10</v>
      </c>
      <c r="W46">
        <f t="shared" si="3"/>
        <v>10</v>
      </c>
      <c r="X46">
        <f t="shared" si="3"/>
        <v>10</v>
      </c>
      <c r="Y46">
        <f t="shared" si="3"/>
        <v>10</v>
      </c>
      <c r="Z46">
        <f t="shared" si="3"/>
        <v>10</v>
      </c>
      <c r="AA46">
        <f t="shared" si="3"/>
        <v>10</v>
      </c>
      <c r="AB46">
        <f t="shared" si="3"/>
        <v>10</v>
      </c>
    </row>
    <row r="47" spans="1:28">
      <c r="A47" t="s">
        <v>82</v>
      </c>
      <c r="D47" s="7"/>
      <c r="F47">
        <f t="shared" ref="F47:H47" si="4">AND(D46&lt;$D$38,E46=$D$38)*1</f>
        <v>0</v>
      </c>
      <c r="G47">
        <f t="shared" si="4"/>
        <v>0</v>
      </c>
      <c r="H47">
        <f t="shared" si="4"/>
        <v>0</v>
      </c>
      <c r="I47">
        <f>AND(G46&lt;$D$38,H46=$D$38)*1</f>
        <v>0</v>
      </c>
      <c r="J47">
        <f>AND(H46&lt;$D$38,I46=$D$38)*1</f>
        <v>1</v>
      </c>
      <c r="K47">
        <f t="shared" ref="K47:AB47" si="5">AND(I46&lt;$D$38,J46=$D$38)*1</f>
        <v>0</v>
      </c>
      <c r="L47">
        <f t="shared" si="5"/>
        <v>0</v>
      </c>
      <c r="M47">
        <f t="shared" si="5"/>
        <v>0</v>
      </c>
      <c r="N47">
        <f t="shared" si="5"/>
        <v>0</v>
      </c>
      <c r="O47">
        <f t="shared" si="5"/>
        <v>0</v>
      </c>
      <c r="P47">
        <f t="shared" si="5"/>
        <v>0</v>
      </c>
      <c r="Q47">
        <f t="shared" si="5"/>
        <v>0</v>
      </c>
      <c r="R47">
        <f t="shared" si="5"/>
        <v>0</v>
      </c>
      <c r="S47">
        <f t="shared" si="5"/>
        <v>0</v>
      </c>
      <c r="T47">
        <f t="shared" si="5"/>
        <v>0</v>
      </c>
      <c r="U47">
        <f t="shared" si="5"/>
        <v>0</v>
      </c>
      <c r="V47">
        <f t="shared" si="5"/>
        <v>0</v>
      </c>
      <c r="W47">
        <f t="shared" si="5"/>
        <v>0</v>
      </c>
      <c r="X47">
        <f t="shared" si="5"/>
        <v>0</v>
      </c>
      <c r="Y47">
        <f t="shared" si="5"/>
        <v>0</v>
      </c>
      <c r="Z47">
        <f t="shared" si="5"/>
        <v>0</v>
      </c>
      <c r="AA47">
        <f t="shared" si="5"/>
        <v>0</v>
      </c>
      <c r="AB47">
        <f t="shared" si="5"/>
        <v>0</v>
      </c>
    </row>
    <row r="48" spans="1:28">
      <c r="A48" t="s">
        <v>82</v>
      </c>
      <c r="B48" s="13" t="s">
        <v>332</v>
      </c>
      <c r="D48" s="36">
        <f>SUMPRODUCT(F1:AI1,F47:AI47)</f>
        <v>2029</v>
      </c>
    </row>
    <row r="49" spans="1:11">
      <c r="A49" t="s">
        <v>20</v>
      </c>
      <c r="B49" s="13" t="s">
        <v>13</v>
      </c>
      <c r="D49" s="7"/>
      <c r="F49" s="8">
        <v>0</v>
      </c>
      <c r="G49" s="8">
        <v>0</v>
      </c>
      <c r="H49" s="8">
        <v>0.5</v>
      </c>
      <c r="I49" s="8">
        <v>0.5</v>
      </c>
      <c r="J49" s="8">
        <v>0</v>
      </c>
      <c r="K49" s="84"/>
    </row>
    <row r="50" spans="1:11">
      <c r="A50" t="s">
        <v>21</v>
      </c>
      <c r="B50" s="13" t="s">
        <v>17</v>
      </c>
      <c r="D50" s="7"/>
      <c r="F50" s="7">
        <f>F49*$D$45</f>
        <v>0</v>
      </c>
      <c r="G50" s="7">
        <f t="shared" ref="G50:J50" si="6">G49*$D$45</f>
        <v>0</v>
      </c>
      <c r="H50" s="7">
        <f t="shared" si="6"/>
        <v>12000000</v>
      </c>
      <c r="I50" s="7">
        <f t="shared" si="6"/>
        <v>12000000</v>
      </c>
      <c r="J50" s="7">
        <f t="shared" si="6"/>
        <v>0</v>
      </c>
      <c r="K50" s="84"/>
    </row>
    <row r="51" spans="1:11">
      <c r="A51" s="3" t="s">
        <v>329</v>
      </c>
      <c r="F51" s="6"/>
      <c r="G51" s="6"/>
      <c r="H51" s="6"/>
      <c r="I51" s="6"/>
      <c r="J51" s="6"/>
      <c r="K51" s="84"/>
    </row>
    <row r="52" spans="1:11">
      <c r="K52" s="84"/>
    </row>
    <row r="53" spans="1:11">
      <c r="A53" t="s">
        <v>437</v>
      </c>
      <c r="B53" s="13" t="s">
        <v>17</v>
      </c>
      <c r="D53" s="6">
        <v>100000</v>
      </c>
      <c r="F53" s="86" t="s">
        <v>466</v>
      </c>
      <c r="K53" s="84"/>
    </row>
    <row r="54" spans="1:11">
      <c r="A54" t="s">
        <v>438</v>
      </c>
      <c r="B54" s="13" t="s">
        <v>17</v>
      </c>
      <c r="D54" s="6">
        <v>100000</v>
      </c>
      <c r="F54" s="86" t="s">
        <v>466</v>
      </c>
      <c r="K54" s="84"/>
    </row>
    <row r="55" spans="1:11">
      <c r="A55" t="s">
        <v>439</v>
      </c>
      <c r="B55" s="13" t="s">
        <v>16</v>
      </c>
      <c r="D55" s="5">
        <v>2</v>
      </c>
      <c r="K55" s="84"/>
    </row>
    <row r="56" spans="1:11">
      <c r="A56" t="s">
        <v>25</v>
      </c>
      <c r="B56" s="13" t="s">
        <v>17</v>
      </c>
      <c r="D56" s="6">
        <v>50000</v>
      </c>
      <c r="K56" s="84"/>
    </row>
    <row r="57" spans="1:11">
      <c r="A57" t="s">
        <v>26</v>
      </c>
      <c r="B57" s="13" t="s">
        <v>17</v>
      </c>
      <c r="D57" s="7">
        <f>(D53+D54)*D55+D56</f>
        <v>450000</v>
      </c>
      <c r="K57" s="84"/>
    </row>
    <row r="58" spans="1:11">
      <c r="A58" t="s">
        <v>23</v>
      </c>
      <c r="B58" s="13" t="s">
        <v>13</v>
      </c>
      <c r="D58" s="7"/>
      <c r="F58" s="8">
        <v>0</v>
      </c>
      <c r="G58" s="8">
        <v>0</v>
      </c>
      <c r="H58" s="8">
        <v>0.5</v>
      </c>
      <c r="I58" s="8">
        <v>0.5</v>
      </c>
      <c r="J58" s="8">
        <v>0</v>
      </c>
      <c r="K58" s="84"/>
    </row>
    <row r="59" spans="1:11">
      <c r="A59" t="s">
        <v>22</v>
      </c>
      <c r="B59" s="13" t="s">
        <v>17</v>
      </c>
      <c r="D59" s="7"/>
      <c r="F59" s="7">
        <f>F58*$D$57</f>
        <v>0</v>
      </c>
      <c r="G59" s="7">
        <f t="shared" ref="G59:J59" si="7">G58*$D$57</f>
        <v>0</v>
      </c>
      <c r="H59" s="7">
        <f t="shared" si="7"/>
        <v>225000</v>
      </c>
      <c r="I59" s="7">
        <f t="shared" si="7"/>
        <v>225000</v>
      </c>
      <c r="J59" s="7">
        <f t="shared" si="7"/>
        <v>0</v>
      </c>
      <c r="K59" s="84"/>
    </row>
    <row r="60" spans="1:11">
      <c r="A60" s="3" t="s">
        <v>329</v>
      </c>
      <c r="F60" s="6"/>
      <c r="G60" s="6"/>
      <c r="H60" s="6"/>
      <c r="I60" s="6"/>
      <c r="J60" s="6"/>
      <c r="K60" s="84"/>
    </row>
    <row r="61" spans="1:11">
      <c r="A61" s="3"/>
      <c r="F61" s="7"/>
      <c r="G61" s="7"/>
      <c r="H61" s="7"/>
      <c r="I61" s="7"/>
      <c r="J61" s="7"/>
      <c r="K61" s="84"/>
    </row>
    <row r="62" spans="1:11">
      <c r="A62" s="16" t="s">
        <v>442</v>
      </c>
      <c r="D62" s="6">
        <v>800000</v>
      </c>
      <c r="F62" s="86" t="s">
        <v>463</v>
      </c>
      <c r="G62" s="7"/>
      <c r="H62" s="7"/>
      <c r="I62" s="7"/>
      <c r="J62" s="7"/>
      <c r="K62" s="84"/>
    </row>
    <row r="63" spans="1:11">
      <c r="A63" s="16" t="s">
        <v>443</v>
      </c>
      <c r="F63" s="8">
        <v>0</v>
      </c>
      <c r="G63" s="8">
        <v>0</v>
      </c>
      <c r="H63" s="8">
        <v>0</v>
      </c>
      <c r="I63" s="8">
        <v>1</v>
      </c>
      <c r="J63" s="8">
        <v>0</v>
      </c>
      <c r="K63" s="84"/>
    </row>
    <row r="64" spans="1:11">
      <c r="A64" s="16" t="s">
        <v>444</v>
      </c>
      <c r="F64" s="7">
        <f>F63*$D$62</f>
        <v>0</v>
      </c>
      <c r="G64" s="7">
        <f t="shared" ref="G64:J64" si="8">G63*$D$62</f>
        <v>0</v>
      </c>
      <c r="H64" s="7">
        <f t="shared" si="8"/>
        <v>0</v>
      </c>
      <c r="I64" s="7">
        <f t="shared" si="8"/>
        <v>800000</v>
      </c>
      <c r="J64" s="7">
        <f t="shared" si="8"/>
        <v>0</v>
      </c>
      <c r="K64" s="84"/>
    </row>
    <row r="65" spans="1:11">
      <c r="A65" s="3" t="s">
        <v>329</v>
      </c>
      <c r="F65" s="6"/>
      <c r="G65" s="6"/>
      <c r="H65" s="6"/>
      <c r="I65" s="6"/>
      <c r="J65" s="6"/>
      <c r="K65" s="84"/>
    </row>
    <row r="66" spans="1:11">
      <c r="K66" s="84"/>
    </row>
    <row r="67" spans="1:11">
      <c r="A67" t="s">
        <v>428</v>
      </c>
      <c r="B67" s="13" t="s">
        <v>17</v>
      </c>
      <c r="D67" s="6">
        <v>3000000</v>
      </c>
      <c r="K67" s="84"/>
    </row>
    <row r="68" spans="1:11">
      <c r="A68" t="s">
        <v>427</v>
      </c>
      <c r="B68" s="13" t="s">
        <v>13</v>
      </c>
      <c r="D68" s="7"/>
      <c r="F68" s="8">
        <v>0</v>
      </c>
      <c r="G68" s="8">
        <v>0</v>
      </c>
      <c r="H68" s="8">
        <v>0.4</v>
      </c>
      <c r="I68" s="8">
        <v>0.6</v>
      </c>
      <c r="J68" s="8">
        <v>0</v>
      </c>
      <c r="K68" s="84"/>
    </row>
    <row r="69" spans="1:11">
      <c r="A69" t="s">
        <v>445</v>
      </c>
      <c r="B69" s="13" t="s">
        <v>17</v>
      </c>
      <c r="D69" s="7"/>
      <c r="F69" s="7">
        <f>F68*$D$67</f>
        <v>0</v>
      </c>
      <c r="G69" s="7">
        <f t="shared" ref="G69:J69" si="9">G68*$D$67</f>
        <v>0</v>
      </c>
      <c r="H69" s="7">
        <f t="shared" si="9"/>
        <v>1200000</v>
      </c>
      <c r="I69" s="7">
        <f t="shared" si="9"/>
        <v>1800000</v>
      </c>
      <c r="J69" s="7">
        <f t="shared" si="9"/>
        <v>0</v>
      </c>
      <c r="K69" s="84"/>
    </row>
    <row r="70" spans="1:11">
      <c r="A70" s="3" t="s">
        <v>329</v>
      </c>
      <c r="F70" s="6"/>
      <c r="G70" s="6"/>
      <c r="H70" s="6"/>
      <c r="I70" s="6"/>
      <c r="J70" s="6"/>
      <c r="K70" s="84"/>
    </row>
    <row r="71" spans="1:11">
      <c r="K71" s="84"/>
    </row>
    <row r="72" spans="1:11">
      <c r="A72" s="31" t="s">
        <v>448</v>
      </c>
      <c r="B72" s="13" t="s">
        <v>17</v>
      </c>
      <c r="D72" s="7"/>
      <c r="K72" s="84"/>
    </row>
    <row r="73" spans="1:11">
      <c r="A73" t="s">
        <v>418</v>
      </c>
      <c r="D73" s="6">
        <v>20000</v>
      </c>
      <c r="K73" s="84"/>
    </row>
    <row r="74" spans="1:11">
      <c r="A74" t="s">
        <v>419</v>
      </c>
      <c r="B74" s="13" t="s">
        <v>13</v>
      </c>
      <c r="D74" s="7"/>
      <c r="F74" s="8">
        <v>0</v>
      </c>
      <c r="G74" s="8">
        <v>0</v>
      </c>
      <c r="H74" s="8">
        <v>0.3</v>
      </c>
      <c r="I74" s="8">
        <v>0.7</v>
      </c>
      <c r="J74" s="8">
        <v>0</v>
      </c>
      <c r="K74" s="84"/>
    </row>
    <row r="75" spans="1:11">
      <c r="A75" t="s">
        <v>420</v>
      </c>
      <c r="B75" s="13" t="s">
        <v>17</v>
      </c>
      <c r="D75" s="7"/>
      <c r="F75" s="7">
        <f>F74*$D$73</f>
        <v>0</v>
      </c>
      <c r="G75" s="7">
        <f t="shared" ref="G75:J75" si="10">G74*$D$73</f>
        <v>0</v>
      </c>
      <c r="H75" s="7">
        <f>H74*$D$73</f>
        <v>6000</v>
      </c>
      <c r="I75" s="7">
        <f t="shared" si="10"/>
        <v>14000</v>
      </c>
      <c r="J75" s="7">
        <f t="shared" si="10"/>
        <v>0</v>
      </c>
      <c r="K75" s="84"/>
    </row>
    <row r="76" spans="1:11">
      <c r="A76" s="3" t="s">
        <v>329</v>
      </c>
      <c r="F76" s="6"/>
      <c r="G76" s="6"/>
      <c r="H76" s="6"/>
      <c r="I76" s="6"/>
      <c r="J76" s="6"/>
      <c r="K76" s="84"/>
    </row>
    <row r="77" spans="1:11">
      <c r="A77" t="s">
        <v>421</v>
      </c>
      <c r="B77" s="13" t="s">
        <v>17</v>
      </c>
      <c r="D77" s="6">
        <v>0</v>
      </c>
      <c r="F77" s="7"/>
      <c r="G77" s="7"/>
      <c r="H77" s="7"/>
      <c r="I77" s="7"/>
      <c r="J77" s="7"/>
      <c r="K77" s="84"/>
    </row>
    <row r="78" spans="1:11">
      <c r="A78" t="s">
        <v>422</v>
      </c>
      <c r="B78" s="13" t="s">
        <v>13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84"/>
    </row>
    <row r="79" spans="1:11">
      <c r="A79" s="16" t="s">
        <v>423</v>
      </c>
      <c r="B79" s="13" t="s">
        <v>17</v>
      </c>
      <c r="F79" s="7">
        <f>F78*$D$77</f>
        <v>0</v>
      </c>
      <c r="G79" s="7">
        <f t="shared" ref="G79:J79" si="11">G78*$D$77</f>
        <v>0</v>
      </c>
      <c r="H79" s="7">
        <f>H78*$D$77</f>
        <v>0</v>
      </c>
      <c r="I79" s="7">
        <f t="shared" si="11"/>
        <v>0</v>
      </c>
      <c r="J79" s="7">
        <f t="shared" si="11"/>
        <v>0</v>
      </c>
      <c r="K79" s="84"/>
    </row>
    <row r="80" spans="1:11">
      <c r="A80" s="3" t="s">
        <v>329</v>
      </c>
      <c r="F80" s="6"/>
      <c r="G80" s="6"/>
      <c r="H80" s="6"/>
      <c r="I80" s="6"/>
      <c r="J80" s="6"/>
      <c r="K80" s="84"/>
    </row>
    <row r="81" spans="1:11">
      <c r="A81" s="16" t="s">
        <v>424</v>
      </c>
      <c r="B81" s="13" t="s">
        <v>17</v>
      </c>
      <c r="D81" s="6">
        <v>0</v>
      </c>
      <c r="F81" s="7"/>
      <c r="G81" s="7"/>
      <c r="H81" s="7"/>
      <c r="I81" s="7"/>
      <c r="J81" s="7"/>
      <c r="K81" s="84"/>
    </row>
    <row r="82" spans="1:11">
      <c r="A82" s="16" t="s">
        <v>425</v>
      </c>
      <c r="B82" s="13" t="s">
        <v>13</v>
      </c>
      <c r="F82" s="6"/>
      <c r="G82" s="6"/>
      <c r="H82" s="6"/>
      <c r="I82" s="6"/>
      <c r="J82" s="6"/>
      <c r="K82" s="84"/>
    </row>
    <row r="83" spans="1:11">
      <c r="A83" s="16" t="s">
        <v>426</v>
      </c>
      <c r="B83" s="13" t="s">
        <v>17</v>
      </c>
      <c r="F83" s="7">
        <f>F82*$D$81</f>
        <v>0</v>
      </c>
      <c r="G83" s="7">
        <f t="shared" ref="G83:J83" si="12">G82*$D$81</f>
        <v>0</v>
      </c>
      <c r="H83" s="7">
        <f t="shared" si="12"/>
        <v>0</v>
      </c>
      <c r="I83" s="7">
        <f t="shared" si="12"/>
        <v>0</v>
      </c>
      <c r="J83" s="7">
        <f t="shared" si="12"/>
        <v>0</v>
      </c>
      <c r="K83" s="84"/>
    </row>
    <row r="84" spans="1:11">
      <c r="A84" s="3" t="s">
        <v>329</v>
      </c>
      <c r="F84" s="6"/>
      <c r="G84" s="6"/>
      <c r="H84" s="6"/>
      <c r="I84" s="6"/>
      <c r="J84" s="6"/>
      <c r="K84" s="84"/>
    </row>
    <row r="85" spans="1:11">
      <c r="A85" s="5" t="s">
        <v>447</v>
      </c>
      <c r="D85" s="6">
        <v>0</v>
      </c>
      <c r="K85" s="84"/>
    </row>
    <row r="86" spans="1:11">
      <c r="A86" t="s">
        <v>435</v>
      </c>
      <c r="F86" s="5"/>
      <c r="G86" s="5"/>
      <c r="H86" s="5"/>
      <c r="I86" s="5"/>
      <c r="J86" s="5"/>
      <c r="K86" s="84"/>
    </row>
    <row r="87" spans="1:11">
      <c r="A87" t="s">
        <v>436</v>
      </c>
      <c r="F87" s="7">
        <f>F86*$D$85</f>
        <v>0</v>
      </c>
      <c r="G87" s="7">
        <f t="shared" ref="G87:J87" si="13">G86*$D$85</f>
        <v>0</v>
      </c>
      <c r="H87" s="7">
        <f t="shared" si="13"/>
        <v>0</v>
      </c>
      <c r="I87" s="7">
        <f t="shared" si="13"/>
        <v>0</v>
      </c>
      <c r="J87" s="7">
        <f t="shared" si="13"/>
        <v>0</v>
      </c>
      <c r="K87" s="84"/>
    </row>
    <row r="88" spans="1:11">
      <c r="A88" t="s">
        <v>329</v>
      </c>
      <c r="F88" s="5"/>
      <c r="G88" s="5"/>
      <c r="H88" s="5"/>
      <c r="I88" s="5"/>
      <c r="J88" s="5"/>
      <c r="K88" s="84"/>
    </row>
    <row r="89" spans="1:11">
      <c r="K89" s="84"/>
    </row>
    <row r="90" spans="1:11">
      <c r="A90" t="s">
        <v>429</v>
      </c>
      <c r="B90" s="13" t="s">
        <v>17</v>
      </c>
      <c r="D90" s="6">
        <v>15000</v>
      </c>
      <c r="K90" s="84"/>
    </row>
    <row r="91" spans="1:11">
      <c r="A91" t="s">
        <v>415</v>
      </c>
      <c r="B91" s="13" t="s">
        <v>13</v>
      </c>
      <c r="D91" s="7"/>
      <c r="F91" s="8">
        <v>0</v>
      </c>
      <c r="G91" s="8">
        <v>0.2</v>
      </c>
      <c r="H91" s="8">
        <v>0.4</v>
      </c>
      <c r="I91" s="8">
        <v>0.4</v>
      </c>
      <c r="J91" s="8">
        <v>0</v>
      </c>
      <c r="K91" s="84"/>
    </row>
    <row r="92" spans="1:11">
      <c r="A92" t="s">
        <v>416</v>
      </c>
      <c r="B92" s="13" t="s">
        <v>17</v>
      </c>
      <c r="D92" s="7"/>
      <c r="F92" s="7">
        <f>F91*$D$90</f>
        <v>0</v>
      </c>
      <c r="G92" s="7">
        <f t="shared" ref="G92:J92" si="14">G91*$D$90</f>
        <v>3000</v>
      </c>
      <c r="H92" s="7">
        <f t="shared" si="14"/>
        <v>6000</v>
      </c>
      <c r="I92" s="7">
        <f t="shared" si="14"/>
        <v>6000</v>
      </c>
      <c r="J92" s="7">
        <f t="shared" si="14"/>
        <v>0</v>
      </c>
      <c r="K92" s="7"/>
    </row>
    <row r="93" spans="1:11">
      <c r="A93" s="3" t="s">
        <v>329</v>
      </c>
      <c r="F93" s="6"/>
      <c r="G93" s="6"/>
      <c r="H93" s="6"/>
      <c r="I93" s="6">
        <v>3000</v>
      </c>
      <c r="J93" s="6"/>
      <c r="K93" s="7"/>
    </row>
    <row r="95" spans="1:11">
      <c r="A95" t="s">
        <v>24</v>
      </c>
      <c r="D95" s="7">
        <f>D90+D85+D81+D77+D73+D67+D62+D57+D45</f>
        <v>28285000</v>
      </c>
    </row>
    <row r="96" spans="1:11">
      <c r="A96" t="s">
        <v>28</v>
      </c>
      <c r="F96" s="7">
        <f>F92+F87+F83+F79+F75+F69+F59+F64+F50</f>
        <v>0</v>
      </c>
      <c r="G96" s="7">
        <f t="shared" ref="G96:J96" si="15">G92+G87+G83+G79+G75+G69+G59+G64+G50</f>
        <v>3000</v>
      </c>
      <c r="H96" s="7">
        <f t="shared" si="15"/>
        <v>13437000</v>
      </c>
      <c r="I96" s="7">
        <f t="shared" si="15"/>
        <v>14845000</v>
      </c>
      <c r="J96" s="7">
        <f t="shared" si="15"/>
        <v>0</v>
      </c>
      <c r="K96" s="7"/>
    </row>
    <row r="97" spans="1:11">
      <c r="A97" s="3" t="s">
        <v>329</v>
      </c>
      <c r="F97" s="7">
        <f>F93+F88+F84+F80+F76+F70+F65+F60+F51</f>
        <v>0</v>
      </c>
      <c r="G97" s="7">
        <f t="shared" ref="G97:J97" si="16">G93+G88+G84+G80+G76+G70+G65+G60+G51</f>
        <v>0</v>
      </c>
      <c r="H97" s="7">
        <f t="shared" si="16"/>
        <v>0</v>
      </c>
      <c r="I97" s="7">
        <f t="shared" si="16"/>
        <v>3000</v>
      </c>
      <c r="J97" s="7">
        <f t="shared" si="16"/>
        <v>0</v>
      </c>
      <c r="K97" s="7"/>
    </row>
    <row r="99" spans="1:11">
      <c r="A99" t="s">
        <v>29</v>
      </c>
      <c r="B99" s="13" t="s">
        <v>17</v>
      </c>
      <c r="F99" s="7">
        <f>F96*$D$7</f>
        <v>0</v>
      </c>
      <c r="G99" s="7">
        <f>G96*$D$7</f>
        <v>690</v>
      </c>
      <c r="H99" s="7">
        <f t="shared" ref="H99:J99" si="17">H96*$D$7</f>
        <v>3090510</v>
      </c>
      <c r="I99" s="7">
        <f t="shared" si="17"/>
        <v>3414350</v>
      </c>
      <c r="J99" s="7">
        <f t="shared" si="17"/>
        <v>0</v>
      </c>
      <c r="K99" s="7"/>
    </row>
    <row r="100" spans="1:11">
      <c r="A100" t="s">
        <v>30</v>
      </c>
      <c r="B100" s="13" t="s">
        <v>17</v>
      </c>
      <c r="F100" s="6"/>
      <c r="G100" s="6"/>
      <c r="H100" s="6"/>
      <c r="I100" s="6"/>
      <c r="J100" s="6"/>
      <c r="K100" s="7"/>
    </row>
    <row r="102" spans="1:11">
      <c r="A102" t="s">
        <v>31</v>
      </c>
      <c r="B102" s="13" t="s">
        <v>17</v>
      </c>
      <c r="F102" s="7">
        <f>(F96+F100)*Wrażliwość!$B$4</f>
        <v>0</v>
      </c>
      <c r="G102" s="7">
        <f>(G96+G100)*Wrażliwość!$B$4</f>
        <v>3000</v>
      </c>
      <c r="H102" s="7">
        <f>(H96+H100)*Wrażliwość!$B$4</f>
        <v>13437000</v>
      </c>
      <c r="I102" s="7">
        <f>(I96+I100)*Wrażliwość!$B$4</f>
        <v>14845000</v>
      </c>
      <c r="J102" s="7">
        <f>(J96+J100)*Wrażliwość!$B$4</f>
        <v>0</v>
      </c>
      <c r="K102" s="7"/>
    </row>
    <row r="103" spans="1:11">
      <c r="A103" t="s">
        <v>263</v>
      </c>
      <c r="B103" s="13" t="s">
        <v>17</v>
      </c>
      <c r="F103" s="7">
        <f>((F50+F64)*$D$11+(F102-F50-F64)*$D$12)*Wrażliwość!$B$4</f>
        <v>0</v>
      </c>
      <c r="G103" s="7">
        <f>((G50+G64)*$D$11+(G102-G50-G64)*$D$12)*Wrażliwość!$B$4</f>
        <v>2490</v>
      </c>
      <c r="H103" s="7">
        <f>((H50+H64)*$D$11+(H102-H50-H64)*$D$12)*Wrażliwość!$B$4</f>
        <v>11632710</v>
      </c>
      <c r="I103" s="7">
        <f>((I50+I64)*$D$11+(I102-I50-I64)*$D$12)*Wrażliwość!$B$4</f>
        <v>12833350</v>
      </c>
      <c r="J103" s="7">
        <f>((J50+J64)*$D$11+(J102-J50-J64)*$D$12)*Wrażliwość!$B$4</f>
        <v>0</v>
      </c>
      <c r="K103" s="7"/>
    </row>
    <row r="105" spans="1:11">
      <c r="A105" t="s">
        <v>83</v>
      </c>
      <c r="B105" s="13" t="s">
        <v>17</v>
      </c>
      <c r="F105" s="5"/>
      <c r="G105" s="5"/>
      <c r="H105" s="5"/>
      <c r="I105" s="5"/>
      <c r="J105" s="5"/>
    </row>
    <row r="107" spans="1:11">
      <c r="A107" s="4" t="s">
        <v>283</v>
      </c>
    </row>
    <row r="109" spans="1:11">
      <c r="A109" t="s">
        <v>330</v>
      </c>
      <c r="F109" s="6"/>
      <c r="G109" s="6"/>
      <c r="H109" s="6">
        <v>500000</v>
      </c>
      <c r="I109" s="6">
        <v>500000</v>
      </c>
      <c r="J109" s="6"/>
    </row>
    <row r="110" spans="1:11">
      <c r="A110" t="s">
        <v>284</v>
      </c>
      <c r="B110" s="13" t="s">
        <v>13</v>
      </c>
      <c r="D110" s="8">
        <v>0.06</v>
      </c>
      <c r="F110" s="7"/>
      <c r="G110" s="7"/>
    </row>
    <row r="111" spans="1:11">
      <c r="A111" t="s">
        <v>333</v>
      </c>
      <c r="B111" s="13" t="s">
        <v>14</v>
      </c>
      <c r="D111" s="6">
        <v>5</v>
      </c>
    </row>
    <row r="112" spans="1:11">
      <c r="A112" t="s">
        <v>331</v>
      </c>
      <c r="B112" s="13" t="s">
        <v>332</v>
      </c>
      <c r="D112" s="5">
        <v>2029</v>
      </c>
    </row>
    <row r="114" spans="1:6">
      <c r="A114" s="4" t="s">
        <v>34</v>
      </c>
    </row>
    <row r="115" spans="1:6">
      <c r="D115" s="75" t="str">
        <f>D34</f>
        <v>Typ 1</v>
      </c>
      <c r="E115" s="75" t="str">
        <f>E34</f>
        <v>Typ 2</v>
      </c>
      <c r="F115" s="75" t="str">
        <f>F34</f>
        <v>Typ 3</v>
      </c>
    </row>
    <row r="116" spans="1:6">
      <c r="A116" s="31" t="s">
        <v>46</v>
      </c>
      <c r="B116" s="13" t="s">
        <v>35</v>
      </c>
      <c r="D116" s="7">
        <f>SUM(D117,D121:D125)</f>
        <v>7.0694999999999997</v>
      </c>
      <c r="E116" s="7">
        <f t="shared" ref="E116:F116" si="18">SUM(E117,E121:E125)</f>
        <v>7.2195</v>
      </c>
      <c r="F116" s="7">
        <f t="shared" si="18"/>
        <v>7.4195000000000002</v>
      </c>
    </row>
    <row r="117" spans="1:6">
      <c r="A117" t="s">
        <v>36</v>
      </c>
      <c r="B117" s="13" t="s">
        <v>35</v>
      </c>
      <c r="D117" s="7">
        <f>D118*D119+D120</f>
        <v>2.0695000000000001</v>
      </c>
      <c r="E117" s="7">
        <f>E118*E119+E120</f>
        <v>2.1194999999999999</v>
      </c>
      <c r="F117" s="7">
        <f>F118*F119+F120</f>
        <v>2.2195</v>
      </c>
    </row>
    <row r="118" spans="1:6">
      <c r="A118" s="3" t="s">
        <v>212</v>
      </c>
      <c r="B118" s="13" t="s">
        <v>345</v>
      </c>
      <c r="D118" s="37">
        <v>0.39500000000000002</v>
      </c>
      <c r="E118" s="37">
        <v>0.39500000000000002</v>
      </c>
      <c r="F118" s="37">
        <v>0.39500000000000002</v>
      </c>
    </row>
    <row r="119" spans="1:6">
      <c r="A119" s="3" t="s">
        <v>351</v>
      </c>
      <c r="B119" s="13" t="s">
        <v>346</v>
      </c>
      <c r="D119" s="6">
        <v>4.0999999999999996</v>
      </c>
      <c r="E119" s="6">
        <v>4.0999999999999996</v>
      </c>
      <c r="F119" s="6">
        <v>4.0999999999999996</v>
      </c>
    </row>
    <row r="120" spans="1:6">
      <c r="A120" s="3" t="s">
        <v>347</v>
      </c>
      <c r="B120" s="13" t="s">
        <v>35</v>
      </c>
      <c r="D120" s="6">
        <v>0.45</v>
      </c>
      <c r="E120" s="6">
        <v>0.5</v>
      </c>
      <c r="F120" s="6">
        <v>0.6</v>
      </c>
    </row>
    <row r="121" spans="1:6">
      <c r="A121" t="s">
        <v>37</v>
      </c>
      <c r="B121" s="13" t="s">
        <v>35</v>
      </c>
      <c r="D121" s="6">
        <v>1</v>
      </c>
      <c r="E121" s="6">
        <v>1.1000000000000001</v>
      </c>
      <c r="F121" s="6">
        <v>1.2</v>
      </c>
    </row>
    <row r="122" spans="1:6">
      <c r="A122" t="s">
        <v>38</v>
      </c>
      <c r="B122" s="13" t="s">
        <v>35</v>
      </c>
      <c r="D122" s="6">
        <v>1</v>
      </c>
      <c r="E122" s="6">
        <v>1</v>
      </c>
      <c r="F122" s="6">
        <v>1</v>
      </c>
    </row>
    <row r="123" spans="1:6">
      <c r="A123" t="s">
        <v>39</v>
      </c>
      <c r="B123" s="13" t="s">
        <v>35</v>
      </c>
      <c r="D123" s="6">
        <v>1</v>
      </c>
      <c r="E123" s="6">
        <v>1</v>
      </c>
      <c r="F123" s="6">
        <v>1</v>
      </c>
    </row>
    <row r="124" spans="1:6">
      <c r="A124" t="s">
        <v>40</v>
      </c>
      <c r="B124" s="13" t="s">
        <v>35</v>
      </c>
      <c r="D124" s="6">
        <v>1</v>
      </c>
      <c r="E124" s="6">
        <v>1</v>
      </c>
      <c r="F124" s="6">
        <v>1</v>
      </c>
    </row>
    <row r="125" spans="1:6">
      <c r="A125" t="s">
        <v>41</v>
      </c>
      <c r="B125" s="13" t="s">
        <v>35</v>
      </c>
      <c r="D125" s="6">
        <v>1</v>
      </c>
      <c r="E125" s="6">
        <v>1</v>
      </c>
      <c r="F125" s="6">
        <v>1</v>
      </c>
    </row>
    <row r="127" spans="1:6">
      <c r="D127" s="75" t="str">
        <f>D35</f>
        <v>Typ A</v>
      </c>
      <c r="E127" s="75" t="str">
        <f>E35</f>
        <v>Typ B</v>
      </c>
      <c r="F127" s="75" t="str">
        <f>F35</f>
        <v>Typ C</v>
      </c>
    </row>
    <row r="128" spans="1:6">
      <c r="A128" s="31" t="s">
        <v>47</v>
      </c>
      <c r="B128" s="13" t="s">
        <v>35</v>
      </c>
      <c r="D128" s="7">
        <f>SUM(D129,D133:D137)</f>
        <v>6.24</v>
      </c>
      <c r="E128" s="7">
        <f t="shared" ref="E128:F128" si="19">SUM(E129,E133:E137)</f>
        <v>6.3849999999999998</v>
      </c>
      <c r="F128" s="7">
        <f t="shared" si="19"/>
        <v>6.53</v>
      </c>
    </row>
    <row r="129" spans="1:29">
      <c r="A129" t="s">
        <v>36</v>
      </c>
      <c r="B129" s="13" t="s">
        <v>35</v>
      </c>
      <c r="D129" s="7">
        <f>D130*D131+D132</f>
        <v>1.24</v>
      </c>
      <c r="E129" s="7">
        <f>E130*E131+E132</f>
        <v>1.3850000000000002</v>
      </c>
      <c r="F129" s="7">
        <f>F130*F131+F132</f>
        <v>1.53</v>
      </c>
    </row>
    <row r="130" spans="1:29">
      <c r="A130" s="3" t="s">
        <v>357</v>
      </c>
      <c r="B130" s="13" t="s">
        <v>215</v>
      </c>
      <c r="D130" s="6">
        <v>1.2</v>
      </c>
      <c r="E130" s="6">
        <v>1.3</v>
      </c>
      <c r="F130" s="6">
        <v>1.4</v>
      </c>
    </row>
    <row r="131" spans="1:29">
      <c r="A131" s="3" t="s">
        <v>358</v>
      </c>
      <c r="B131" s="13" t="s">
        <v>359</v>
      </c>
      <c r="D131" s="6">
        <v>0.45</v>
      </c>
      <c r="E131" s="6">
        <v>0.45</v>
      </c>
      <c r="F131" s="6">
        <v>0.45</v>
      </c>
    </row>
    <row r="132" spans="1:29">
      <c r="A132" s="3" t="s">
        <v>347</v>
      </c>
      <c r="B132" s="13" t="s">
        <v>35</v>
      </c>
      <c r="D132" s="6">
        <v>0.7</v>
      </c>
      <c r="E132" s="6">
        <v>0.8</v>
      </c>
      <c r="F132" s="6">
        <v>0.9</v>
      </c>
    </row>
    <row r="133" spans="1:29">
      <c r="A133" t="s">
        <v>37</v>
      </c>
      <c r="B133" s="13" t="s">
        <v>35</v>
      </c>
      <c r="D133" s="6">
        <v>1</v>
      </c>
      <c r="E133" s="6">
        <v>1</v>
      </c>
      <c r="F133" s="6">
        <v>1</v>
      </c>
    </row>
    <row r="134" spans="1:29">
      <c r="A134" t="s">
        <v>38</v>
      </c>
      <c r="B134" s="13" t="s">
        <v>35</v>
      </c>
      <c r="D134" s="6">
        <v>1</v>
      </c>
      <c r="E134" s="6">
        <v>1</v>
      </c>
      <c r="F134" s="6">
        <v>1</v>
      </c>
    </row>
    <row r="135" spans="1:29">
      <c r="A135" t="s">
        <v>39</v>
      </c>
      <c r="B135" s="13" t="s">
        <v>35</v>
      </c>
      <c r="D135" s="6">
        <v>1</v>
      </c>
      <c r="E135" s="6">
        <v>1</v>
      </c>
      <c r="F135" s="6">
        <v>1</v>
      </c>
    </row>
    <row r="136" spans="1:29">
      <c r="A136" t="s">
        <v>40</v>
      </c>
      <c r="B136" s="13" t="s">
        <v>35</v>
      </c>
      <c r="D136" s="6">
        <v>1</v>
      </c>
      <c r="E136" s="6">
        <v>1</v>
      </c>
      <c r="F136" s="6">
        <v>1</v>
      </c>
    </row>
    <row r="137" spans="1:29">
      <c r="A137" t="s">
        <v>41</v>
      </c>
      <c r="B137" s="13" t="s">
        <v>35</v>
      </c>
      <c r="D137" s="6">
        <v>1</v>
      </c>
      <c r="E137" s="6">
        <v>1</v>
      </c>
      <c r="F137" s="6">
        <v>1</v>
      </c>
    </row>
    <row r="139" spans="1:29">
      <c r="D139" s="2"/>
    </row>
    <row r="141" spans="1:29">
      <c r="A141" s="4" t="s">
        <v>44</v>
      </c>
    </row>
    <row r="143" spans="1:29">
      <c r="A143" t="s">
        <v>45</v>
      </c>
      <c r="E143" s="6"/>
      <c r="F143" s="6"/>
      <c r="G143" s="6"/>
      <c r="H143" s="6"/>
      <c r="I143" s="6"/>
      <c r="J143" s="6"/>
      <c r="K143" s="6">
        <v>600000</v>
      </c>
      <c r="L143" s="6"/>
      <c r="M143" s="6"/>
      <c r="N143" s="6"/>
      <c r="O143" s="6"/>
      <c r="P143" s="6">
        <v>600000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>
      <c r="A145" t="s">
        <v>385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>
      <c r="A147" t="s">
        <v>236</v>
      </c>
      <c r="B147" s="13" t="s">
        <v>17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>
        <v>500000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>
      <c r="A149" t="s">
        <v>430</v>
      </c>
      <c r="B149" s="13" t="s">
        <v>17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>
        <v>500000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1" spans="1:29">
      <c r="A151" s="4" t="s">
        <v>50</v>
      </c>
    </row>
    <row r="153" spans="1:29">
      <c r="A153" t="s">
        <v>431</v>
      </c>
      <c r="B153" s="13" t="s">
        <v>342</v>
      </c>
      <c r="D153" s="6">
        <v>100000</v>
      </c>
    </row>
    <row r="154" spans="1:29">
      <c r="A154" t="s">
        <v>432</v>
      </c>
      <c r="B154" s="13" t="s">
        <v>51</v>
      </c>
      <c r="D154" s="6">
        <v>200000</v>
      </c>
    </row>
    <row r="155" spans="1:29">
      <c r="A155" t="s">
        <v>433</v>
      </c>
      <c r="B155" s="13" t="s">
        <v>343</v>
      </c>
      <c r="D155" s="7">
        <f>D153/D154</f>
        <v>0.5</v>
      </c>
    </row>
    <row r="156" spans="1:29">
      <c r="D156" s="7"/>
    </row>
    <row r="157" spans="1:29">
      <c r="A157" t="s">
        <v>372</v>
      </c>
      <c r="B157" s="13" t="s">
        <v>51</v>
      </c>
      <c r="E157" s="48">
        <v>20000</v>
      </c>
      <c r="F157" s="48">
        <v>20170</v>
      </c>
      <c r="G157" s="48">
        <v>20341.45</v>
      </c>
      <c r="H157" s="48">
        <v>20514.349999999999</v>
      </c>
      <c r="I157" s="48">
        <v>20688.72</v>
      </c>
      <c r="J157" s="48">
        <v>20864.57</v>
      </c>
      <c r="K157" s="48">
        <v>21041.919999999998</v>
      </c>
      <c r="L157" s="48">
        <v>21220.78</v>
      </c>
      <c r="M157" s="48">
        <v>21401.16</v>
      </c>
      <c r="N157" s="48">
        <v>21583.06</v>
      </c>
      <c r="O157" s="48">
        <v>21766.52</v>
      </c>
      <c r="P157" s="48">
        <v>21951.54</v>
      </c>
      <c r="Q157" s="48">
        <v>22138.12</v>
      </c>
      <c r="R157" s="48">
        <v>22326.3</v>
      </c>
      <c r="S157" s="48">
        <v>22516.07</v>
      </c>
      <c r="T157" s="48">
        <v>22707.46</v>
      </c>
      <c r="U157" s="48">
        <v>22900.47</v>
      </c>
      <c r="V157" s="48">
        <v>23095.13</v>
      </c>
      <c r="W157" s="48">
        <v>23291.43</v>
      </c>
      <c r="X157" s="48">
        <v>23489.41</v>
      </c>
      <c r="Y157" s="48">
        <v>23689.07</v>
      </c>
      <c r="Z157" s="48">
        <v>23890.43</v>
      </c>
      <c r="AA157" s="48">
        <v>24093.5</v>
      </c>
      <c r="AB157" s="48">
        <v>24298.29</v>
      </c>
      <c r="AC157" s="48"/>
    </row>
    <row r="158" spans="1:29">
      <c r="D158" s="7"/>
    </row>
    <row r="159" spans="1:29">
      <c r="A159" t="s">
        <v>270</v>
      </c>
      <c r="D159" s="7"/>
    </row>
    <row r="160" spans="1:29">
      <c r="A160" s="3" t="s">
        <v>268</v>
      </c>
      <c r="B160" s="13" t="s">
        <v>238</v>
      </c>
      <c r="D160" s="6">
        <v>3000</v>
      </c>
    </row>
    <row r="161" spans="1:28">
      <c r="A161" s="3" t="s">
        <v>269</v>
      </c>
      <c r="B161" s="13" t="s">
        <v>238</v>
      </c>
      <c r="D161" s="6">
        <v>10000</v>
      </c>
    </row>
    <row r="163" spans="1:28">
      <c r="A163" t="s">
        <v>237</v>
      </c>
      <c r="B163" s="13" t="s">
        <v>238</v>
      </c>
      <c r="D163" s="6">
        <v>2000</v>
      </c>
      <c r="E163" s="86" t="s">
        <v>452</v>
      </c>
    </row>
    <row r="165" spans="1:28">
      <c r="A165" t="s">
        <v>434</v>
      </c>
    </row>
    <row r="166" spans="1:28">
      <c r="A166" s="3" t="s">
        <v>383</v>
      </c>
      <c r="B166" s="13" t="s">
        <v>17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>
      <c r="A167" s="3" t="s">
        <v>384</v>
      </c>
      <c r="B167" s="13" t="s">
        <v>17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9" spans="1:28">
      <c r="A169" s="4" t="s">
        <v>52</v>
      </c>
    </row>
    <row r="170" spans="1:28">
      <c r="D170" s="76" t="str">
        <f>D34</f>
        <v>Typ 1</v>
      </c>
      <c r="E170" s="76" t="str">
        <f t="shared" ref="E170:F170" si="20">E34</f>
        <v>Typ 2</v>
      </c>
      <c r="F170" s="76" t="str">
        <f t="shared" si="20"/>
        <v>Typ 3</v>
      </c>
    </row>
    <row r="171" spans="1:28">
      <c r="A171" t="s">
        <v>53</v>
      </c>
      <c r="D171" s="59" t="s">
        <v>171</v>
      </c>
      <c r="E171" s="59" t="s">
        <v>172</v>
      </c>
      <c r="F171" s="59" t="s">
        <v>174</v>
      </c>
    </row>
    <row r="173" spans="1:28">
      <c r="A173" t="s">
        <v>228</v>
      </c>
      <c r="B173" s="13" t="s">
        <v>232</v>
      </c>
      <c r="E173" s="7">
        <v>839.22883968238784</v>
      </c>
      <c r="F173" s="7">
        <v>982.26930939558144</v>
      </c>
      <c r="G173" s="7">
        <v>1095.097540880209</v>
      </c>
      <c r="H173" s="7">
        <v>1207.9257723648366</v>
      </c>
      <c r="I173" s="7">
        <v>1320.7540038494642</v>
      </c>
      <c r="J173" s="7">
        <v>1433.5822353340918</v>
      </c>
      <c r="K173" s="7">
        <v>1546.4104668187192</v>
      </c>
      <c r="L173" s="7">
        <v>1659.2386983033468</v>
      </c>
      <c r="M173" s="7">
        <v>1845.0734325133217</v>
      </c>
      <c r="N173" s="7">
        <v>2030.9081667232967</v>
      </c>
      <c r="O173" s="7">
        <v>2216.7429009332714</v>
      </c>
      <c r="P173" s="7">
        <v>2402.5776351432464</v>
      </c>
      <c r="Q173" s="7">
        <v>2588.412369353221</v>
      </c>
      <c r="R173" s="7">
        <v>2767.610148769983</v>
      </c>
      <c r="S173" s="7">
        <v>2946.8079281867444</v>
      </c>
      <c r="T173" s="7">
        <v>3126.0057076035055</v>
      </c>
      <c r="U173" s="7">
        <v>3305.2034870202669</v>
      </c>
      <c r="V173" s="7">
        <v>3484.4012664370284</v>
      </c>
      <c r="W173" s="7">
        <v>3663.5990458537899</v>
      </c>
      <c r="X173" s="7">
        <v>3842.7968252705518</v>
      </c>
      <c r="Y173" s="7">
        <v>4021.9946046873133</v>
      </c>
      <c r="Z173" s="7">
        <v>4201.1923841040743</v>
      </c>
      <c r="AA173" s="7">
        <v>4380.3901635208358</v>
      </c>
      <c r="AB173" s="7">
        <v>4566.2248977308109</v>
      </c>
    </row>
    <row r="174" spans="1:28">
      <c r="A174" t="s">
        <v>229</v>
      </c>
      <c r="B174" s="13" t="s">
        <v>232</v>
      </c>
      <c r="E174" s="7">
        <v>78946.850842901695</v>
      </c>
      <c r="F174" s="7">
        <v>83693.901444344796</v>
      </c>
      <c r="G174" s="7">
        <v>86393.677191647294</v>
      </c>
      <c r="H174" s="7">
        <v>89049.418282754166</v>
      </c>
      <c r="I174" s="7">
        <v>91253.615770011791</v>
      </c>
      <c r="J174" s="7">
        <v>93228.272206482317</v>
      </c>
      <c r="K174" s="7">
        <v>95333.674773029488</v>
      </c>
      <c r="L174" s="7">
        <v>97575.719436306419</v>
      </c>
      <c r="M174" s="7">
        <v>99758.124380399648</v>
      </c>
      <c r="N174" s="7">
        <v>101942.13723931342</v>
      </c>
      <c r="O174" s="7">
        <v>103957.13353884641</v>
      </c>
      <c r="P174" s="7">
        <v>105945.76948424417</v>
      </c>
      <c r="Q174" s="7">
        <v>107989.57586863804</v>
      </c>
      <c r="R174" s="7">
        <v>110001.20760586615</v>
      </c>
      <c r="S174" s="7">
        <v>111881.61784028549</v>
      </c>
      <c r="T174" s="7">
        <v>113716.97748394778</v>
      </c>
      <c r="U174" s="7">
        <v>115410.22865109949</v>
      </c>
      <c r="V174" s="7">
        <v>116951.9879597914</v>
      </c>
      <c r="W174" s="7">
        <v>118334.41124461702</v>
      </c>
      <c r="X174" s="7">
        <v>119645.38937535715</v>
      </c>
      <c r="Y174" s="7">
        <v>120779.37512917386</v>
      </c>
      <c r="Z174" s="7">
        <v>121931.11253702722</v>
      </c>
      <c r="AA174" s="7">
        <v>123108.11783101532</v>
      </c>
      <c r="AB174" s="7">
        <v>124303.05244147012</v>
      </c>
    </row>
    <row r="175" spans="1:28">
      <c r="A175" t="s">
        <v>361</v>
      </c>
      <c r="B175" s="13" t="s">
        <v>232</v>
      </c>
      <c r="E175" s="7">
        <v>3759.3738496619858</v>
      </c>
      <c r="F175" s="7">
        <v>3985.4238783021333</v>
      </c>
      <c r="G175" s="7">
        <v>4113.9846281736809</v>
      </c>
      <c r="H175" s="7">
        <v>4240.4484896549611</v>
      </c>
      <c r="I175" s="7">
        <v>4345.4102747624665</v>
      </c>
      <c r="J175" s="7">
        <v>4439.4415336420152</v>
      </c>
      <c r="K175" s="7">
        <v>4539.6987987156899</v>
      </c>
      <c r="L175" s="7">
        <v>4646.4628303003055</v>
      </c>
      <c r="M175" s="7">
        <v>4750.3868752571261</v>
      </c>
      <c r="N175" s="7">
        <v>4854.387487586353</v>
      </c>
      <c r="O175" s="7">
        <v>4950.3396923260188</v>
      </c>
      <c r="P175" s="7">
        <v>5045.0366421068647</v>
      </c>
      <c r="Q175" s="7">
        <v>5142.3607556494298</v>
      </c>
      <c r="R175" s="7">
        <v>5238.152743136483</v>
      </c>
      <c r="S175" s="7">
        <v>5327.696087632642</v>
      </c>
      <c r="T175" s="7">
        <v>5415.0941659022747</v>
      </c>
      <c r="U175" s="7">
        <v>5495.7251738618797</v>
      </c>
      <c r="V175" s="7">
        <v>5569.1422837995897</v>
      </c>
      <c r="W175" s="7">
        <v>5634.9719640293815</v>
      </c>
      <c r="X175" s="7">
        <v>5697.3994940646253</v>
      </c>
      <c r="Y175" s="7">
        <v>5751.3988156749447</v>
      </c>
      <c r="Z175" s="7">
        <v>5806.2434541441526</v>
      </c>
      <c r="AA175" s="7">
        <v>5862.2913252864428</v>
      </c>
      <c r="AB175" s="7">
        <v>5919.1929734033383</v>
      </c>
    </row>
    <row r="176" spans="1:28">
      <c r="A176" t="s">
        <v>230</v>
      </c>
      <c r="B176" s="13" t="s">
        <v>232</v>
      </c>
      <c r="E176" s="7">
        <v>488718.60045605816</v>
      </c>
      <c r="F176" s="7">
        <v>518105.10417927732</v>
      </c>
      <c r="G176" s="7">
        <v>534818.00166257855</v>
      </c>
      <c r="H176" s="7">
        <v>551258.30365514487</v>
      </c>
      <c r="I176" s="7">
        <v>564903.33571912057</v>
      </c>
      <c r="J176" s="7">
        <v>577127.39937346196</v>
      </c>
      <c r="K176" s="7">
        <v>590160.84383303963</v>
      </c>
      <c r="L176" s="7">
        <v>604040.16793903965</v>
      </c>
      <c r="M176" s="7">
        <v>617550.29378342628</v>
      </c>
      <c r="N176" s="7">
        <v>631070.37338622578</v>
      </c>
      <c r="O176" s="7">
        <v>643544.16000238236</v>
      </c>
      <c r="P176" s="7">
        <v>655854.76347389235</v>
      </c>
      <c r="Q176" s="7">
        <v>668506.89823442581</v>
      </c>
      <c r="R176" s="7">
        <v>680959.85660774261</v>
      </c>
      <c r="S176" s="7">
        <v>692600.4913922433</v>
      </c>
      <c r="T176" s="7">
        <v>703962.24156729551</v>
      </c>
      <c r="U176" s="7">
        <v>714444.27260204428</v>
      </c>
      <c r="V176" s="7">
        <v>723988.49689394655</v>
      </c>
      <c r="W176" s="7">
        <v>732546.35532381944</v>
      </c>
      <c r="X176" s="7">
        <v>740661.93422840117</v>
      </c>
      <c r="Y176" s="7">
        <v>747681.84603774268</v>
      </c>
      <c r="Z176" s="7">
        <v>754811.64903873974</v>
      </c>
      <c r="AA176" s="7">
        <v>762097.87228723743</v>
      </c>
      <c r="AB176" s="7">
        <v>769495.08654243383</v>
      </c>
    </row>
    <row r="177" spans="1:28">
      <c r="A177" t="s">
        <v>231</v>
      </c>
      <c r="B177" s="13" t="s">
        <v>233</v>
      </c>
      <c r="E177" s="7">
        <v>0.35990425684128002</v>
      </c>
      <c r="F177" s="7">
        <v>0.38154519249177332</v>
      </c>
      <c r="G177" s="7">
        <v>0.39385297644511363</v>
      </c>
      <c r="H177" s="7">
        <v>0.40596001445299651</v>
      </c>
      <c r="I177" s="7">
        <v>0.41600854773979573</v>
      </c>
      <c r="J177" s="7">
        <v>0.42501064534973065</v>
      </c>
      <c r="K177" s="7">
        <v>0.43460879065856295</v>
      </c>
      <c r="L177" s="7">
        <v>0.44482986230013299</v>
      </c>
      <c r="M177" s="7">
        <v>0.45477904736761099</v>
      </c>
      <c r="N177" s="7">
        <v>0.46473556262473392</v>
      </c>
      <c r="O177" s="7">
        <v>0.47392156229385879</v>
      </c>
      <c r="P177" s="7">
        <v>0.48298738992871237</v>
      </c>
      <c r="Q177" s="7">
        <v>0.49230472950653137</v>
      </c>
      <c r="R177" s="7">
        <v>0.50147539075134928</v>
      </c>
      <c r="S177" s="7">
        <v>0.5100478371599102</v>
      </c>
      <c r="T177" s="7">
        <v>0.51841490616312103</v>
      </c>
      <c r="U177" s="7">
        <v>0.52613412860775088</v>
      </c>
      <c r="V177" s="7">
        <v>0.53316272737133008</v>
      </c>
      <c r="W177" s="7">
        <v>0.53946494233814768</v>
      </c>
      <c r="X177" s="7">
        <v>0.54544145191188731</v>
      </c>
      <c r="Y177" s="7">
        <v>0.55061108560390304</v>
      </c>
      <c r="Z177" s="7">
        <v>0.55586164584062003</v>
      </c>
      <c r="AA177" s="7">
        <v>0.56122739774976194</v>
      </c>
      <c r="AB177" s="7">
        <v>0.56667488613413652</v>
      </c>
    </row>
    <row r="178" spans="1:28">
      <c r="A178" s="87" t="s">
        <v>459</v>
      </c>
    </row>
    <row r="180" spans="1:28">
      <c r="A180" t="s">
        <v>257</v>
      </c>
      <c r="B180" s="13" t="s">
        <v>13</v>
      </c>
      <c r="D180" s="8">
        <v>0.9</v>
      </c>
      <c r="E180" s="86" t="s">
        <v>462</v>
      </c>
    </row>
  </sheetData>
  <mergeCells count="1">
    <mergeCell ref="B37:I37"/>
  </mergeCells>
  <conditionalFormatting sqref="K49:K91">
    <cfRule type="cellIs" dxfId="1" priority="7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Emisja!$A$3:$A$8</xm:f>
          </x14:formula1>
          <xm:sqref>D171:F171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A115"/>
  <sheetViews>
    <sheetView workbookViewId="0"/>
  </sheetViews>
  <sheetFormatPr defaultRowHeight="14.4"/>
  <cols>
    <col min="1" max="1" width="74.6640625" bestFit="1" customWidth="1"/>
    <col min="2" max="27" width="13.6640625" customWidth="1"/>
  </cols>
  <sheetData>
    <row r="1" spans="1:27">
      <c r="A1" s="4" t="s">
        <v>2</v>
      </c>
      <c r="B1" s="4"/>
      <c r="C1" s="4"/>
      <c r="D1" s="4">
        <v>2024</v>
      </c>
      <c r="E1" s="4">
        <v>2025</v>
      </c>
      <c r="F1" s="4">
        <v>2026</v>
      </c>
      <c r="G1" s="4">
        <v>2027</v>
      </c>
      <c r="H1" s="4">
        <v>2028</v>
      </c>
      <c r="I1" s="4">
        <v>2029</v>
      </c>
      <c r="J1" s="4">
        <v>2030</v>
      </c>
      <c r="K1" s="4">
        <v>2031</v>
      </c>
      <c r="L1" s="4">
        <v>2032</v>
      </c>
      <c r="M1" s="4">
        <v>2033</v>
      </c>
      <c r="N1" s="4">
        <v>2034</v>
      </c>
      <c r="O1" s="4">
        <v>2035</v>
      </c>
      <c r="P1" s="4">
        <v>2036</v>
      </c>
      <c r="Q1" s="4">
        <v>2037</v>
      </c>
      <c r="R1" s="4">
        <v>2038</v>
      </c>
      <c r="S1" s="4">
        <v>2039</v>
      </c>
      <c r="T1" s="4">
        <v>2040</v>
      </c>
      <c r="U1" s="4">
        <v>2041</v>
      </c>
      <c r="V1" s="4">
        <v>2042</v>
      </c>
      <c r="W1" s="4">
        <v>2043</v>
      </c>
      <c r="X1" s="4">
        <v>2044</v>
      </c>
      <c r="Y1" s="4">
        <v>2045</v>
      </c>
      <c r="Z1" s="4">
        <v>2046</v>
      </c>
      <c r="AA1" s="4">
        <v>2047</v>
      </c>
    </row>
    <row r="3" spans="1:27">
      <c r="A3" s="4" t="s">
        <v>449</v>
      </c>
    </row>
    <row r="4" spans="1:27">
      <c r="A4" s="29" t="s">
        <v>84</v>
      </c>
      <c r="D4">
        <f>SUM(D5,D7:D9)</f>
        <v>0</v>
      </c>
      <c r="E4">
        <f t="shared" ref="E4:AA4" si="0">SUM(E5,E7:E9)</f>
        <v>0</v>
      </c>
      <c r="F4">
        <f t="shared" si="0"/>
        <v>0</v>
      </c>
      <c r="G4">
        <f t="shared" si="0"/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</row>
    <row r="5" spans="1:27">
      <c r="A5" s="11" t="s">
        <v>85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>
      <c r="A6" s="28" t="s">
        <v>142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1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11" t="s">
        <v>87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>
      <c r="A9" s="11" t="s">
        <v>88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>
      <c r="A10" s="3" t="s">
        <v>89</v>
      </c>
      <c r="D10">
        <f>SUM(D11:D12)</f>
        <v>0</v>
      </c>
      <c r="E10">
        <f t="shared" ref="E10:AA10" si="1">SUM(E11:E12)</f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</row>
    <row r="11" spans="1:27">
      <c r="A11" s="11" t="s">
        <v>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11" t="s">
        <v>91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>
      <c r="A13" s="28" t="s">
        <v>143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t="s">
        <v>139</v>
      </c>
      <c r="D14">
        <f>D4-D10</f>
        <v>0</v>
      </c>
      <c r="E14">
        <f t="shared" ref="E14:AA14" si="2">E4-E10</f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>
        <f t="shared" si="2"/>
        <v>0</v>
      </c>
      <c r="W14">
        <f t="shared" si="2"/>
        <v>0</v>
      </c>
      <c r="X14">
        <f t="shared" si="2"/>
        <v>0</v>
      </c>
      <c r="Y14">
        <f t="shared" si="2"/>
        <v>0</v>
      </c>
      <c r="Z14">
        <f t="shared" si="2"/>
        <v>0</v>
      </c>
      <c r="AA14">
        <f t="shared" si="2"/>
        <v>0</v>
      </c>
    </row>
    <row r="15" spans="1:27">
      <c r="A15" s="3" t="s">
        <v>92</v>
      </c>
      <c r="D15">
        <f>SUM(D16:D17)</f>
        <v>0</v>
      </c>
      <c r="E15">
        <f t="shared" ref="E15:AA15" si="3">SUM(E16:E17)</f>
        <v>0</v>
      </c>
      <c r="F15">
        <f t="shared" si="3"/>
        <v>0</v>
      </c>
      <c r="G15">
        <f t="shared" si="3"/>
        <v>0</v>
      </c>
      <c r="H15">
        <f t="shared" si="3"/>
        <v>0</v>
      </c>
      <c r="I15">
        <f t="shared" si="3"/>
        <v>0</v>
      </c>
      <c r="J15">
        <f t="shared" si="3"/>
        <v>0</v>
      </c>
      <c r="K15">
        <f t="shared" si="3"/>
        <v>0</v>
      </c>
      <c r="L15">
        <f t="shared" si="3"/>
        <v>0</v>
      </c>
      <c r="M15">
        <f t="shared" si="3"/>
        <v>0</v>
      </c>
      <c r="N15">
        <f t="shared" si="3"/>
        <v>0</v>
      </c>
      <c r="O15">
        <f t="shared" si="3"/>
        <v>0</v>
      </c>
      <c r="P15">
        <f t="shared" si="3"/>
        <v>0</v>
      </c>
      <c r="Q15">
        <f t="shared" si="3"/>
        <v>0</v>
      </c>
      <c r="R15">
        <f t="shared" si="3"/>
        <v>0</v>
      </c>
      <c r="S15">
        <f t="shared" si="3"/>
        <v>0</v>
      </c>
      <c r="T15">
        <f t="shared" si="3"/>
        <v>0</v>
      </c>
      <c r="U15">
        <f t="shared" si="3"/>
        <v>0</v>
      </c>
      <c r="V15">
        <f t="shared" si="3"/>
        <v>0</v>
      </c>
      <c r="W15">
        <f t="shared" si="3"/>
        <v>0</v>
      </c>
      <c r="X15">
        <f t="shared" si="3"/>
        <v>0</v>
      </c>
      <c r="Y15">
        <f t="shared" si="3"/>
        <v>0</v>
      </c>
      <c r="Z15">
        <f t="shared" si="3"/>
        <v>0</v>
      </c>
      <c r="AA15">
        <f t="shared" si="3"/>
        <v>0</v>
      </c>
    </row>
    <row r="16" spans="1:27">
      <c r="A16" s="11" t="s">
        <v>93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11" t="s">
        <v>94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>
      <c r="A18" s="3" t="s">
        <v>95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t="s">
        <v>138</v>
      </c>
      <c r="D19">
        <f>D14+D15-D18</f>
        <v>0</v>
      </c>
      <c r="E19">
        <f t="shared" ref="E19:AA19" si="4">E14+E15-E18</f>
        <v>0</v>
      </c>
      <c r="F19">
        <f t="shared" si="4"/>
        <v>0</v>
      </c>
      <c r="G19">
        <f t="shared" si="4"/>
        <v>0</v>
      </c>
      <c r="H19">
        <f t="shared" si="4"/>
        <v>0</v>
      </c>
      <c r="I19">
        <f t="shared" si="4"/>
        <v>0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0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f t="shared" si="4"/>
        <v>0</v>
      </c>
      <c r="Z19">
        <f t="shared" si="4"/>
        <v>0</v>
      </c>
      <c r="AA19">
        <f t="shared" si="4"/>
        <v>0</v>
      </c>
    </row>
    <row r="20" spans="1:27">
      <c r="A20" s="3" t="s">
        <v>96</v>
      </c>
      <c r="D20">
        <f>SUM(D21:D23)</f>
        <v>0</v>
      </c>
      <c r="E20">
        <f t="shared" ref="E20:AA20" si="5">SUM(E21:E23)</f>
        <v>0</v>
      </c>
      <c r="F20">
        <f t="shared" si="5"/>
        <v>0</v>
      </c>
      <c r="G20">
        <f t="shared" si="5"/>
        <v>0</v>
      </c>
      <c r="H20">
        <f t="shared" si="5"/>
        <v>0</v>
      </c>
      <c r="I20">
        <f t="shared" si="5"/>
        <v>0</v>
      </c>
      <c r="J20">
        <f t="shared" si="5"/>
        <v>0</v>
      </c>
      <c r="K20">
        <f t="shared" si="5"/>
        <v>0</v>
      </c>
      <c r="L20">
        <f t="shared" si="5"/>
        <v>0</v>
      </c>
      <c r="M20">
        <f t="shared" si="5"/>
        <v>0</v>
      </c>
      <c r="N20">
        <f t="shared" si="5"/>
        <v>0</v>
      </c>
      <c r="O20">
        <f t="shared" si="5"/>
        <v>0</v>
      </c>
      <c r="P20">
        <f t="shared" si="5"/>
        <v>0</v>
      </c>
      <c r="Q20">
        <f t="shared" si="5"/>
        <v>0</v>
      </c>
      <c r="R20">
        <f t="shared" si="5"/>
        <v>0</v>
      </c>
      <c r="S20">
        <f t="shared" si="5"/>
        <v>0</v>
      </c>
      <c r="T20">
        <f t="shared" si="5"/>
        <v>0</v>
      </c>
      <c r="U20">
        <f t="shared" si="5"/>
        <v>0</v>
      </c>
      <c r="V20">
        <f t="shared" si="5"/>
        <v>0</v>
      </c>
      <c r="W20">
        <f t="shared" si="5"/>
        <v>0</v>
      </c>
      <c r="X20">
        <f t="shared" si="5"/>
        <v>0</v>
      </c>
      <c r="Y20">
        <f t="shared" si="5"/>
        <v>0</v>
      </c>
      <c r="Z20">
        <f t="shared" si="5"/>
        <v>0</v>
      </c>
      <c r="AA20">
        <f t="shared" si="5"/>
        <v>0</v>
      </c>
    </row>
    <row r="21" spans="1:27">
      <c r="A21" s="11" t="s">
        <v>97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>
      <c r="A22" s="11" t="s">
        <v>98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>
      <c r="A23" s="11" t="s">
        <v>99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3" t="s">
        <v>100</v>
      </c>
      <c r="D24">
        <f>SUM(D25:D26)</f>
        <v>0</v>
      </c>
      <c r="E24">
        <f t="shared" ref="E24:AA24" si="6">SUM(E25:E26)</f>
        <v>0</v>
      </c>
      <c r="F24">
        <f t="shared" si="6"/>
        <v>0</v>
      </c>
      <c r="G24">
        <f t="shared" si="6"/>
        <v>0</v>
      </c>
      <c r="H24">
        <f t="shared" si="6"/>
        <v>0</v>
      </c>
      <c r="I24">
        <f t="shared" si="6"/>
        <v>0</v>
      </c>
      <c r="J24">
        <f t="shared" si="6"/>
        <v>0</v>
      </c>
      <c r="K24">
        <f t="shared" si="6"/>
        <v>0</v>
      </c>
      <c r="L24">
        <f t="shared" si="6"/>
        <v>0</v>
      </c>
      <c r="M24">
        <f t="shared" si="6"/>
        <v>0</v>
      </c>
      <c r="N24">
        <f t="shared" si="6"/>
        <v>0</v>
      </c>
      <c r="O24">
        <f t="shared" si="6"/>
        <v>0</v>
      </c>
      <c r="P24">
        <f t="shared" si="6"/>
        <v>0</v>
      </c>
      <c r="Q24">
        <f t="shared" si="6"/>
        <v>0</v>
      </c>
      <c r="R24">
        <f t="shared" si="6"/>
        <v>0</v>
      </c>
      <c r="S24">
        <f t="shared" si="6"/>
        <v>0</v>
      </c>
      <c r="T24">
        <f t="shared" si="6"/>
        <v>0</v>
      </c>
      <c r="U24">
        <f t="shared" si="6"/>
        <v>0</v>
      </c>
      <c r="V24">
        <f t="shared" si="6"/>
        <v>0</v>
      </c>
      <c r="W24">
        <f t="shared" si="6"/>
        <v>0</v>
      </c>
      <c r="X24">
        <f t="shared" si="6"/>
        <v>0</v>
      </c>
      <c r="Y24">
        <f t="shared" si="6"/>
        <v>0</v>
      </c>
      <c r="Z24">
        <f t="shared" si="6"/>
        <v>0</v>
      </c>
      <c r="AA24">
        <f t="shared" si="6"/>
        <v>0</v>
      </c>
    </row>
    <row r="25" spans="1:27">
      <c r="A25" s="11" t="s">
        <v>98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11" t="s">
        <v>101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t="s">
        <v>137</v>
      </c>
      <c r="D27">
        <f>D19+D20-D24</f>
        <v>0</v>
      </c>
      <c r="E27">
        <f t="shared" ref="E27:AA27" si="7">E19+E20-E24</f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</v>
      </c>
      <c r="U27">
        <f t="shared" si="7"/>
        <v>0</v>
      </c>
      <c r="V27">
        <f t="shared" si="7"/>
        <v>0</v>
      </c>
      <c r="W27">
        <f t="shared" si="7"/>
        <v>0</v>
      </c>
      <c r="X27">
        <f t="shared" si="7"/>
        <v>0</v>
      </c>
      <c r="Y27">
        <f t="shared" si="7"/>
        <v>0</v>
      </c>
      <c r="Z27">
        <f t="shared" si="7"/>
        <v>0</v>
      </c>
      <c r="AA27">
        <f t="shared" si="7"/>
        <v>0</v>
      </c>
    </row>
    <row r="28" spans="1:27" s="3" customFormat="1">
      <c r="A28" s="3" t="s">
        <v>102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>
      <c r="A29" t="s">
        <v>135</v>
      </c>
      <c r="D29">
        <f>D27+D28</f>
        <v>0</v>
      </c>
      <c r="E29">
        <f t="shared" ref="E29:AA29" si="8">E27+E28</f>
        <v>0</v>
      </c>
      <c r="F29">
        <f t="shared" si="8"/>
        <v>0</v>
      </c>
      <c r="G29">
        <f t="shared" si="8"/>
        <v>0</v>
      </c>
      <c r="H29">
        <f t="shared" si="8"/>
        <v>0</v>
      </c>
      <c r="I29">
        <f t="shared" si="8"/>
        <v>0</v>
      </c>
      <c r="J29">
        <f t="shared" si="8"/>
        <v>0</v>
      </c>
      <c r="K29">
        <f t="shared" si="8"/>
        <v>0</v>
      </c>
      <c r="L29">
        <f t="shared" si="8"/>
        <v>0</v>
      </c>
      <c r="M29">
        <f t="shared" si="8"/>
        <v>0</v>
      </c>
      <c r="N29">
        <f t="shared" si="8"/>
        <v>0</v>
      </c>
      <c r="O29">
        <f t="shared" si="8"/>
        <v>0</v>
      </c>
      <c r="P29">
        <f t="shared" si="8"/>
        <v>0</v>
      </c>
      <c r="Q29">
        <f t="shared" si="8"/>
        <v>0</v>
      </c>
      <c r="R29">
        <f t="shared" si="8"/>
        <v>0</v>
      </c>
      <c r="S29">
        <f t="shared" si="8"/>
        <v>0</v>
      </c>
      <c r="T29">
        <f t="shared" si="8"/>
        <v>0</v>
      </c>
      <c r="U29">
        <f t="shared" si="8"/>
        <v>0</v>
      </c>
      <c r="V29">
        <f t="shared" si="8"/>
        <v>0</v>
      </c>
      <c r="W29">
        <f t="shared" si="8"/>
        <v>0</v>
      </c>
      <c r="X29">
        <f t="shared" si="8"/>
        <v>0</v>
      </c>
      <c r="Y29">
        <f t="shared" si="8"/>
        <v>0</v>
      </c>
      <c r="Z29">
        <f t="shared" si="8"/>
        <v>0</v>
      </c>
      <c r="AA29">
        <f t="shared" si="8"/>
        <v>0</v>
      </c>
    </row>
    <row r="30" spans="1:27">
      <c r="A30" s="3" t="s">
        <v>103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t="s">
        <v>136</v>
      </c>
      <c r="D31">
        <f>D29-D30</f>
        <v>0</v>
      </c>
      <c r="E31">
        <f t="shared" ref="E31:AA31" si="9">E29-E30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 t="shared" si="9"/>
        <v>0</v>
      </c>
      <c r="R31">
        <f t="shared" si="9"/>
        <v>0</v>
      </c>
      <c r="S31">
        <f t="shared" si="9"/>
        <v>0</v>
      </c>
      <c r="T31">
        <f t="shared" si="9"/>
        <v>0</v>
      </c>
      <c r="U31">
        <f t="shared" si="9"/>
        <v>0</v>
      </c>
      <c r="V31">
        <f t="shared" si="9"/>
        <v>0</v>
      </c>
      <c r="W31">
        <f t="shared" si="9"/>
        <v>0</v>
      </c>
      <c r="X31">
        <f t="shared" si="9"/>
        <v>0</v>
      </c>
      <c r="Y31">
        <f t="shared" si="9"/>
        <v>0</v>
      </c>
      <c r="Z31">
        <f t="shared" si="9"/>
        <v>0</v>
      </c>
      <c r="AA31">
        <f t="shared" si="9"/>
        <v>0</v>
      </c>
    </row>
    <row r="33" spans="1:27">
      <c r="A33" s="4" t="s">
        <v>451</v>
      </c>
    </row>
    <row r="34" spans="1:27">
      <c r="A34" t="s">
        <v>104</v>
      </c>
      <c r="D34">
        <f>SUM(D35:D40)</f>
        <v>0</v>
      </c>
      <c r="E34">
        <f t="shared" ref="E34:AA34" si="10">SUM(E35:E40)</f>
        <v>0</v>
      </c>
      <c r="F34">
        <f t="shared" si="10"/>
        <v>0</v>
      </c>
      <c r="G34">
        <f t="shared" si="10"/>
        <v>0</v>
      </c>
      <c r="H34">
        <f t="shared" si="10"/>
        <v>0</v>
      </c>
      <c r="I34">
        <f t="shared" si="10"/>
        <v>0</v>
      </c>
      <c r="J34">
        <f t="shared" si="10"/>
        <v>0</v>
      </c>
      <c r="K34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0"/>
        <v>0</v>
      </c>
      <c r="V34">
        <f t="shared" si="10"/>
        <v>0</v>
      </c>
      <c r="W34">
        <f t="shared" si="10"/>
        <v>0</v>
      </c>
      <c r="X34">
        <f t="shared" si="10"/>
        <v>0</v>
      </c>
      <c r="Y34">
        <f t="shared" si="10"/>
        <v>0</v>
      </c>
      <c r="Z34">
        <f t="shared" si="10"/>
        <v>0</v>
      </c>
      <c r="AA34">
        <f t="shared" si="10"/>
        <v>0</v>
      </c>
    </row>
    <row r="35" spans="1:27">
      <c r="A35" s="3" t="s">
        <v>105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A36" s="3" t="s">
        <v>140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A37" s="3" t="s">
        <v>141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3" t="s">
        <v>106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3" t="s">
        <v>107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>
      <c r="A40" s="3" t="s">
        <v>108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t="s">
        <v>109</v>
      </c>
      <c r="D41">
        <f>SUM(D42:D45)</f>
        <v>0</v>
      </c>
      <c r="E41">
        <f t="shared" ref="E41:AA41" si="11">SUM(E42:E45)</f>
        <v>0</v>
      </c>
      <c r="F41">
        <f t="shared" si="11"/>
        <v>0</v>
      </c>
      <c r="G41">
        <f t="shared" si="11"/>
        <v>0</v>
      </c>
      <c r="H41">
        <f t="shared" si="11"/>
        <v>0</v>
      </c>
      <c r="I41">
        <f t="shared" si="11"/>
        <v>0</v>
      </c>
      <c r="J41">
        <f t="shared" si="11"/>
        <v>0</v>
      </c>
      <c r="K41">
        <f t="shared" si="11"/>
        <v>0</v>
      </c>
      <c r="L41">
        <f t="shared" si="11"/>
        <v>0</v>
      </c>
      <c r="M41">
        <f t="shared" si="11"/>
        <v>0</v>
      </c>
      <c r="N41">
        <f t="shared" si="11"/>
        <v>0</v>
      </c>
      <c r="O41">
        <f t="shared" si="11"/>
        <v>0</v>
      </c>
      <c r="P41">
        <f t="shared" si="11"/>
        <v>0</v>
      </c>
      <c r="Q41">
        <f t="shared" si="11"/>
        <v>0</v>
      </c>
      <c r="R41">
        <f t="shared" si="11"/>
        <v>0</v>
      </c>
      <c r="S41">
        <f t="shared" si="11"/>
        <v>0</v>
      </c>
      <c r="T41">
        <f t="shared" si="11"/>
        <v>0</v>
      </c>
      <c r="U41">
        <f t="shared" si="11"/>
        <v>0</v>
      </c>
      <c r="V41">
        <f t="shared" si="11"/>
        <v>0</v>
      </c>
      <c r="W41">
        <f t="shared" si="11"/>
        <v>0</v>
      </c>
      <c r="X41">
        <f t="shared" si="11"/>
        <v>0</v>
      </c>
      <c r="Y41">
        <f t="shared" si="11"/>
        <v>0</v>
      </c>
      <c r="Z41">
        <f t="shared" si="11"/>
        <v>0</v>
      </c>
      <c r="AA41">
        <f t="shared" si="11"/>
        <v>0</v>
      </c>
    </row>
    <row r="42" spans="1:27">
      <c r="A42" s="3" t="s">
        <v>110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3" t="s">
        <v>111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3" t="s">
        <v>112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3" t="s">
        <v>113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t="s">
        <v>114</v>
      </c>
      <c r="D46">
        <f>D41+D34</f>
        <v>0</v>
      </c>
      <c r="E46">
        <f t="shared" ref="E46:AA46" si="12">E41+E34</f>
        <v>0</v>
      </c>
      <c r="F46">
        <f t="shared" si="12"/>
        <v>0</v>
      </c>
      <c r="G46">
        <f t="shared" si="12"/>
        <v>0</v>
      </c>
      <c r="H46">
        <f t="shared" si="12"/>
        <v>0</v>
      </c>
      <c r="I46">
        <f t="shared" si="12"/>
        <v>0</v>
      </c>
      <c r="J46">
        <f t="shared" si="12"/>
        <v>0</v>
      </c>
      <c r="K46">
        <f t="shared" si="12"/>
        <v>0</v>
      </c>
      <c r="L46">
        <f t="shared" si="12"/>
        <v>0</v>
      </c>
      <c r="M46">
        <f t="shared" si="12"/>
        <v>0</v>
      </c>
      <c r="N46">
        <f t="shared" si="12"/>
        <v>0</v>
      </c>
      <c r="O46">
        <f t="shared" si="12"/>
        <v>0</v>
      </c>
      <c r="P46">
        <f t="shared" si="12"/>
        <v>0</v>
      </c>
      <c r="Q46">
        <f t="shared" si="12"/>
        <v>0</v>
      </c>
      <c r="R46">
        <f t="shared" si="12"/>
        <v>0</v>
      </c>
      <c r="S46">
        <f t="shared" si="12"/>
        <v>0</v>
      </c>
      <c r="T46">
        <f t="shared" si="12"/>
        <v>0</v>
      </c>
      <c r="U46">
        <f t="shared" si="12"/>
        <v>0</v>
      </c>
      <c r="V46">
        <f t="shared" si="12"/>
        <v>0</v>
      </c>
      <c r="W46">
        <f t="shared" si="12"/>
        <v>0</v>
      </c>
      <c r="X46">
        <f t="shared" si="12"/>
        <v>0</v>
      </c>
      <c r="Y46">
        <f t="shared" si="12"/>
        <v>0</v>
      </c>
      <c r="Z46">
        <f t="shared" si="12"/>
        <v>0</v>
      </c>
      <c r="AA46">
        <f t="shared" si="12"/>
        <v>0</v>
      </c>
    </row>
    <row r="48" spans="1:27">
      <c r="A48" t="s">
        <v>115</v>
      </c>
      <c r="D48">
        <f>SUM(D49:D54)</f>
        <v>0</v>
      </c>
      <c r="E48">
        <f t="shared" ref="E48:AA48" si="13">SUM(E49:E54)</f>
        <v>0</v>
      </c>
      <c r="F48">
        <f t="shared" si="13"/>
        <v>0</v>
      </c>
      <c r="G48">
        <f t="shared" si="13"/>
        <v>0</v>
      </c>
      <c r="H48">
        <f t="shared" si="13"/>
        <v>0</v>
      </c>
      <c r="I48">
        <f t="shared" si="13"/>
        <v>0</v>
      </c>
      <c r="J48">
        <f t="shared" si="13"/>
        <v>0</v>
      </c>
      <c r="K48">
        <f t="shared" si="13"/>
        <v>0</v>
      </c>
      <c r="L48">
        <f t="shared" si="13"/>
        <v>0</v>
      </c>
      <c r="M48">
        <f t="shared" si="13"/>
        <v>0</v>
      </c>
      <c r="N48">
        <f t="shared" si="13"/>
        <v>0</v>
      </c>
      <c r="O48">
        <f t="shared" si="13"/>
        <v>0</v>
      </c>
      <c r="P48">
        <f t="shared" si="13"/>
        <v>0</v>
      </c>
      <c r="Q48">
        <f t="shared" si="13"/>
        <v>0</v>
      </c>
      <c r="R48">
        <f t="shared" si="13"/>
        <v>0</v>
      </c>
      <c r="S48">
        <f t="shared" si="13"/>
        <v>0</v>
      </c>
      <c r="T48">
        <f t="shared" si="13"/>
        <v>0</v>
      </c>
      <c r="U48">
        <f t="shared" si="13"/>
        <v>0</v>
      </c>
      <c r="V48">
        <f t="shared" si="13"/>
        <v>0</v>
      </c>
      <c r="W48">
        <f t="shared" si="13"/>
        <v>0</v>
      </c>
      <c r="X48">
        <f t="shared" si="13"/>
        <v>0</v>
      </c>
      <c r="Y48">
        <f t="shared" si="13"/>
        <v>0</v>
      </c>
      <c r="Z48">
        <f t="shared" si="13"/>
        <v>0</v>
      </c>
      <c r="AA48">
        <f t="shared" si="13"/>
        <v>0</v>
      </c>
    </row>
    <row r="49" spans="1:27">
      <c r="A49" s="3" t="s">
        <v>116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3" t="s">
        <v>117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3" t="s">
        <v>118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>
      <c r="A52" s="3" t="s">
        <v>119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>
      <c r="A53" s="3" t="s">
        <v>120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>
      <c r="A54" s="3" t="s">
        <v>121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>
      <c r="A55" t="s">
        <v>122</v>
      </c>
      <c r="D55">
        <f>SUM(D56:D59)</f>
        <v>0</v>
      </c>
      <c r="E55">
        <f t="shared" ref="E55:AA55" si="14">SUM(E56:E59)</f>
        <v>0</v>
      </c>
      <c r="F55">
        <f t="shared" si="14"/>
        <v>0</v>
      </c>
      <c r="G55">
        <f t="shared" si="14"/>
        <v>0</v>
      </c>
      <c r="H55">
        <f t="shared" si="14"/>
        <v>0</v>
      </c>
      <c r="I55">
        <f t="shared" si="14"/>
        <v>0</v>
      </c>
      <c r="J55">
        <f t="shared" si="14"/>
        <v>0</v>
      </c>
      <c r="K55">
        <f t="shared" si="14"/>
        <v>0</v>
      </c>
      <c r="L55">
        <f t="shared" si="14"/>
        <v>0</v>
      </c>
      <c r="M55">
        <f t="shared" si="14"/>
        <v>0</v>
      </c>
      <c r="N55">
        <f t="shared" si="14"/>
        <v>0</v>
      </c>
      <c r="O55">
        <f t="shared" si="14"/>
        <v>0</v>
      </c>
      <c r="P55">
        <f t="shared" si="14"/>
        <v>0</v>
      </c>
      <c r="Q55">
        <f t="shared" si="14"/>
        <v>0</v>
      </c>
      <c r="R55">
        <f t="shared" si="14"/>
        <v>0</v>
      </c>
      <c r="S55">
        <f t="shared" si="14"/>
        <v>0</v>
      </c>
      <c r="T55">
        <f t="shared" si="14"/>
        <v>0</v>
      </c>
      <c r="U55">
        <f t="shared" si="14"/>
        <v>0</v>
      </c>
      <c r="V55">
        <f t="shared" si="14"/>
        <v>0</v>
      </c>
      <c r="W55">
        <f t="shared" si="14"/>
        <v>0</v>
      </c>
      <c r="X55">
        <f t="shared" si="14"/>
        <v>0</v>
      </c>
      <c r="Y55">
        <f t="shared" si="14"/>
        <v>0</v>
      </c>
      <c r="Z55">
        <f t="shared" si="14"/>
        <v>0</v>
      </c>
      <c r="AA55">
        <f t="shared" si="14"/>
        <v>0</v>
      </c>
    </row>
    <row r="56" spans="1:27" s="3" customFormat="1">
      <c r="A56" s="3" t="s">
        <v>123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s="3" customFormat="1">
      <c r="A57" s="3" t="s">
        <v>124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s="3" customFormat="1">
      <c r="A58" s="3" t="s">
        <v>125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s="3" customFormat="1">
      <c r="A59" s="3" t="s">
        <v>126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>
      <c r="A60" t="s">
        <v>127</v>
      </c>
      <c r="D60">
        <f>D55+D48</f>
        <v>0</v>
      </c>
      <c r="E60">
        <f t="shared" ref="E60:AA60" si="15">E55+E48</f>
        <v>0</v>
      </c>
      <c r="F60">
        <f t="shared" si="15"/>
        <v>0</v>
      </c>
      <c r="G60">
        <f t="shared" si="15"/>
        <v>0</v>
      </c>
      <c r="H60">
        <f t="shared" si="15"/>
        <v>0</v>
      </c>
      <c r="I60">
        <f t="shared" si="15"/>
        <v>0</v>
      </c>
      <c r="J60">
        <f t="shared" si="15"/>
        <v>0</v>
      </c>
      <c r="K60">
        <f t="shared" si="15"/>
        <v>0</v>
      </c>
      <c r="L60">
        <f t="shared" si="15"/>
        <v>0</v>
      </c>
      <c r="M60">
        <f t="shared" si="15"/>
        <v>0</v>
      </c>
      <c r="N60">
        <f t="shared" si="15"/>
        <v>0</v>
      </c>
      <c r="O60">
        <f t="shared" si="15"/>
        <v>0</v>
      </c>
      <c r="P60">
        <f t="shared" si="15"/>
        <v>0</v>
      </c>
      <c r="Q60">
        <f t="shared" si="15"/>
        <v>0</v>
      </c>
      <c r="R60">
        <f t="shared" si="15"/>
        <v>0</v>
      </c>
      <c r="S60">
        <f t="shared" si="15"/>
        <v>0</v>
      </c>
      <c r="T60">
        <f t="shared" si="15"/>
        <v>0</v>
      </c>
      <c r="U60">
        <f t="shared" si="15"/>
        <v>0</v>
      </c>
      <c r="V60">
        <f t="shared" si="15"/>
        <v>0</v>
      </c>
      <c r="W60">
        <f t="shared" si="15"/>
        <v>0</v>
      </c>
      <c r="X60">
        <f t="shared" si="15"/>
        <v>0</v>
      </c>
      <c r="Y60">
        <f t="shared" si="15"/>
        <v>0</v>
      </c>
      <c r="Z60">
        <f t="shared" si="15"/>
        <v>0</v>
      </c>
      <c r="AA60">
        <f t="shared" si="15"/>
        <v>0</v>
      </c>
    </row>
    <row r="61" spans="1:27">
      <c r="D61" s="88" t="b">
        <f>D46=D60</f>
        <v>1</v>
      </c>
      <c r="E61" s="88" t="b">
        <f t="shared" ref="E61:AA61" si="16">E46=E60</f>
        <v>1</v>
      </c>
      <c r="F61" s="88" t="b">
        <f t="shared" si="16"/>
        <v>1</v>
      </c>
      <c r="G61" s="88" t="b">
        <f t="shared" si="16"/>
        <v>1</v>
      </c>
      <c r="H61" s="88" t="b">
        <f t="shared" si="16"/>
        <v>1</v>
      </c>
      <c r="I61" s="88" t="b">
        <f t="shared" si="16"/>
        <v>1</v>
      </c>
      <c r="J61" s="88" t="b">
        <f t="shared" si="16"/>
        <v>1</v>
      </c>
      <c r="K61" s="88" t="b">
        <f t="shared" si="16"/>
        <v>1</v>
      </c>
      <c r="L61" s="88" t="b">
        <f t="shared" si="16"/>
        <v>1</v>
      </c>
      <c r="M61" s="88" t="b">
        <f t="shared" si="16"/>
        <v>1</v>
      </c>
      <c r="N61" s="88" t="b">
        <f t="shared" si="16"/>
        <v>1</v>
      </c>
      <c r="O61" s="88" t="b">
        <f t="shared" si="16"/>
        <v>1</v>
      </c>
      <c r="P61" s="88" t="b">
        <f t="shared" si="16"/>
        <v>1</v>
      </c>
      <c r="Q61" s="88" t="b">
        <f t="shared" si="16"/>
        <v>1</v>
      </c>
      <c r="R61" s="88" t="b">
        <f t="shared" si="16"/>
        <v>1</v>
      </c>
      <c r="S61" s="88" t="b">
        <f t="shared" si="16"/>
        <v>1</v>
      </c>
      <c r="T61" s="88" t="b">
        <f t="shared" si="16"/>
        <v>1</v>
      </c>
      <c r="U61" s="88" t="b">
        <f t="shared" si="16"/>
        <v>1</v>
      </c>
      <c r="V61" s="88" t="b">
        <f t="shared" si="16"/>
        <v>1</v>
      </c>
      <c r="W61" s="88" t="b">
        <f t="shared" si="16"/>
        <v>1</v>
      </c>
      <c r="X61" s="88" t="b">
        <f t="shared" si="16"/>
        <v>1</v>
      </c>
      <c r="Y61" s="88" t="b">
        <f t="shared" si="16"/>
        <v>1</v>
      </c>
      <c r="Z61" s="88" t="b">
        <f t="shared" si="16"/>
        <v>1</v>
      </c>
      <c r="AA61" s="88" t="b">
        <f t="shared" si="16"/>
        <v>1</v>
      </c>
    </row>
    <row r="63" spans="1:27">
      <c r="A63" s="4" t="s">
        <v>450</v>
      </c>
    </row>
    <row r="64" spans="1:27">
      <c r="A64" s="4"/>
    </row>
    <row r="65" spans="1:27">
      <c r="A65" t="s">
        <v>128</v>
      </c>
    </row>
    <row r="66" spans="1:27">
      <c r="A66" t="s">
        <v>136</v>
      </c>
      <c r="D66">
        <f>D31</f>
        <v>0</v>
      </c>
      <c r="E66">
        <f>E31</f>
        <v>0</v>
      </c>
      <c r="F66">
        <f t="shared" ref="F66:AA66" si="17">F31</f>
        <v>0</v>
      </c>
      <c r="G66">
        <f t="shared" si="17"/>
        <v>0</v>
      </c>
      <c r="H66">
        <f t="shared" si="17"/>
        <v>0</v>
      </c>
      <c r="I66">
        <f t="shared" si="17"/>
        <v>0</v>
      </c>
      <c r="J66">
        <f t="shared" si="17"/>
        <v>0</v>
      </c>
      <c r="K66">
        <f t="shared" si="17"/>
        <v>0</v>
      </c>
      <c r="L66">
        <f t="shared" si="17"/>
        <v>0</v>
      </c>
      <c r="M66">
        <f t="shared" si="17"/>
        <v>0</v>
      </c>
      <c r="N66">
        <f t="shared" si="17"/>
        <v>0</v>
      </c>
      <c r="O66">
        <f t="shared" si="17"/>
        <v>0</v>
      </c>
      <c r="P66">
        <f t="shared" si="17"/>
        <v>0</v>
      </c>
      <c r="Q66">
        <f t="shared" si="17"/>
        <v>0</v>
      </c>
      <c r="R66">
        <f t="shared" si="17"/>
        <v>0</v>
      </c>
      <c r="S66">
        <f t="shared" si="17"/>
        <v>0</v>
      </c>
      <c r="T66">
        <f t="shared" si="17"/>
        <v>0</v>
      </c>
      <c r="U66">
        <f t="shared" si="17"/>
        <v>0</v>
      </c>
      <c r="V66">
        <f t="shared" si="17"/>
        <v>0</v>
      </c>
      <c r="W66">
        <f t="shared" si="17"/>
        <v>0</v>
      </c>
      <c r="X66">
        <f t="shared" si="17"/>
        <v>0</v>
      </c>
      <c r="Y66">
        <f t="shared" si="17"/>
        <v>0</v>
      </c>
      <c r="Z66">
        <f t="shared" si="17"/>
        <v>0</v>
      </c>
      <c r="AA66">
        <f t="shared" si="17"/>
        <v>0</v>
      </c>
    </row>
    <row r="67" spans="1:27">
      <c r="A67" t="s">
        <v>129</v>
      </c>
      <c r="D67">
        <f>SUM(D68:D76)</f>
        <v>0</v>
      </c>
      <c r="E67">
        <f>SUM(E68:E76)</f>
        <v>0</v>
      </c>
      <c r="F67">
        <f t="shared" ref="F67:AA67" si="18">SUM(F68:F76)</f>
        <v>0</v>
      </c>
      <c r="G67">
        <f t="shared" si="18"/>
        <v>0</v>
      </c>
      <c r="H67">
        <f t="shared" si="18"/>
        <v>0</v>
      </c>
      <c r="I67">
        <f t="shared" si="18"/>
        <v>0</v>
      </c>
      <c r="J67">
        <f t="shared" si="18"/>
        <v>0</v>
      </c>
      <c r="K67">
        <f t="shared" si="18"/>
        <v>0</v>
      </c>
      <c r="L67">
        <f t="shared" si="18"/>
        <v>0</v>
      </c>
      <c r="M67">
        <f t="shared" si="18"/>
        <v>0</v>
      </c>
      <c r="N67">
        <f t="shared" si="18"/>
        <v>0</v>
      </c>
      <c r="O67">
        <f t="shared" si="18"/>
        <v>0</v>
      </c>
      <c r="P67">
        <f t="shared" si="18"/>
        <v>0</v>
      </c>
      <c r="Q67">
        <f t="shared" si="18"/>
        <v>0</v>
      </c>
      <c r="R67">
        <f t="shared" si="18"/>
        <v>0</v>
      </c>
      <c r="S67">
        <f t="shared" si="18"/>
        <v>0</v>
      </c>
      <c r="T67">
        <f t="shared" si="18"/>
        <v>0</v>
      </c>
      <c r="U67">
        <f t="shared" si="18"/>
        <v>0</v>
      </c>
      <c r="V67">
        <f t="shared" si="18"/>
        <v>0</v>
      </c>
      <c r="W67">
        <f t="shared" si="18"/>
        <v>0</v>
      </c>
      <c r="X67">
        <f t="shared" si="18"/>
        <v>0</v>
      </c>
      <c r="Y67">
        <f t="shared" si="18"/>
        <v>0</v>
      </c>
      <c r="Z67">
        <f t="shared" si="18"/>
        <v>0</v>
      </c>
      <c r="AA67">
        <f t="shared" si="18"/>
        <v>0</v>
      </c>
    </row>
    <row r="68" spans="1:27">
      <c r="A68" s="3" t="s">
        <v>90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>
      <c r="A69" s="3" t="s">
        <v>144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3" t="s">
        <v>145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3" t="s">
        <v>146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>
      <c r="A72" s="3" t="s">
        <v>147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>
      <c r="A73" s="3" t="s">
        <v>148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>
      <c r="A74" s="3" t="s">
        <v>149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>
      <c r="A75" s="3" t="s">
        <v>150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>
      <c r="A76" s="3" t="s">
        <v>101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t="s">
        <v>151</v>
      </c>
      <c r="D77">
        <f>D66+D67</f>
        <v>0</v>
      </c>
      <c r="E77">
        <f>E66+E67</f>
        <v>0</v>
      </c>
      <c r="F77">
        <f t="shared" ref="F77:AA77" si="19">F66+F67</f>
        <v>0</v>
      </c>
      <c r="G77">
        <f t="shared" si="19"/>
        <v>0</v>
      </c>
      <c r="H77">
        <f t="shared" si="19"/>
        <v>0</v>
      </c>
      <c r="I77">
        <f t="shared" si="19"/>
        <v>0</v>
      </c>
      <c r="J77">
        <f t="shared" si="19"/>
        <v>0</v>
      </c>
      <c r="K77">
        <f t="shared" si="19"/>
        <v>0</v>
      </c>
      <c r="L77">
        <f t="shared" si="19"/>
        <v>0</v>
      </c>
      <c r="M77">
        <f t="shared" si="19"/>
        <v>0</v>
      </c>
      <c r="N77">
        <f t="shared" si="19"/>
        <v>0</v>
      </c>
      <c r="O77">
        <f t="shared" si="19"/>
        <v>0</v>
      </c>
      <c r="P77">
        <f t="shared" si="19"/>
        <v>0</v>
      </c>
      <c r="Q77">
        <f t="shared" si="19"/>
        <v>0</v>
      </c>
      <c r="R77">
        <f t="shared" si="19"/>
        <v>0</v>
      </c>
      <c r="S77">
        <f t="shared" si="19"/>
        <v>0</v>
      </c>
      <c r="T77">
        <f t="shared" si="19"/>
        <v>0</v>
      </c>
      <c r="U77">
        <f t="shared" si="19"/>
        <v>0</v>
      </c>
      <c r="V77">
        <f t="shared" si="19"/>
        <v>0</v>
      </c>
      <c r="W77">
        <f t="shared" si="19"/>
        <v>0</v>
      </c>
      <c r="X77">
        <f t="shared" si="19"/>
        <v>0</v>
      </c>
      <c r="Y77">
        <f t="shared" si="19"/>
        <v>0</v>
      </c>
      <c r="Z77">
        <f t="shared" si="19"/>
        <v>0</v>
      </c>
      <c r="AA77">
        <f t="shared" si="19"/>
        <v>0</v>
      </c>
    </row>
    <row r="79" spans="1:27">
      <c r="A79" t="s">
        <v>130</v>
      </c>
    </row>
    <row r="80" spans="1:27">
      <c r="A80" s="3" t="s">
        <v>131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3" t="s">
        <v>132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11" t="s">
        <v>375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t="s">
        <v>152</v>
      </c>
      <c r="D83">
        <f>D80-D81</f>
        <v>0</v>
      </c>
      <c r="E83">
        <f>E80-E81</f>
        <v>0</v>
      </c>
      <c r="F83">
        <f t="shared" ref="F83:AA83" si="20">F80-F81</f>
        <v>0</v>
      </c>
      <c r="G83">
        <f t="shared" si="20"/>
        <v>0</v>
      </c>
      <c r="H83">
        <f t="shared" si="20"/>
        <v>0</v>
      </c>
      <c r="I83">
        <f t="shared" si="20"/>
        <v>0</v>
      </c>
      <c r="J83">
        <f t="shared" si="20"/>
        <v>0</v>
      </c>
      <c r="K83">
        <f t="shared" si="20"/>
        <v>0</v>
      </c>
      <c r="L83">
        <f t="shared" si="20"/>
        <v>0</v>
      </c>
      <c r="M83">
        <f t="shared" si="20"/>
        <v>0</v>
      </c>
      <c r="N83">
        <f t="shared" si="20"/>
        <v>0</v>
      </c>
      <c r="O83">
        <f t="shared" si="20"/>
        <v>0</v>
      </c>
      <c r="P83">
        <f t="shared" si="20"/>
        <v>0</v>
      </c>
      <c r="Q83">
        <f t="shared" si="20"/>
        <v>0</v>
      </c>
      <c r="R83">
        <f t="shared" si="20"/>
        <v>0</v>
      </c>
      <c r="S83">
        <f t="shared" si="20"/>
        <v>0</v>
      </c>
      <c r="T83">
        <f t="shared" si="20"/>
        <v>0</v>
      </c>
      <c r="U83">
        <f t="shared" si="20"/>
        <v>0</v>
      </c>
      <c r="V83">
        <f t="shared" si="20"/>
        <v>0</v>
      </c>
      <c r="W83">
        <f t="shared" si="20"/>
        <v>0</v>
      </c>
      <c r="X83">
        <f t="shared" si="20"/>
        <v>0</v>
      </c>
      <c r="Y83">
        <f t="shared" si="20"/>
        <v>0</v>
      </c>
      <c r="Z83">
        <f t="shared" si="20"/>
        <v>0</v>
      </c>
      <c r="AA83">
        <f t="shared" si="20"/>
        <v>0</v>
      </c>
    </row>
    <row r="85" spans="1:27">
      <c r="A85" t="s">
        <v>133</v>
      </c>
    </row>
    <row r="86" spans="1:27">
      <c r="A86" t="s">
        <v>131</v>
      </c>
      <c r="D86">
        <f>SUM(D87:D88,D90,D92,D93)</f>
        <v>0</v>
      </c>
      <c r="E86">
        <f t="shared" ref="E86:AA86" si="21">SUM(E87:E88,E90,E92,E93)</f>
        <v>0</v>
      </c>
      <c r="F86">
        <f t="shared" si="21"/>
        <v>0</v>
      </c>
      <c r="G86">
        <f t="shared" si="21"/>
        <v>0</v>
      </c>
      <c r="H86">
        <f t="shared" si="21"/>
        <v>0</v>
      </c>
      <c r="I86">
        <f t="shared" si="21"/>
        <v>0</v>
      </c>
      <c r="J86">
        <f t="shared" si="21"/>
        <v>0</v>
      </c>
      <c r="K86">
        <f t="shared" si="21"/>
        <v>0</v>
      </c>
      <c r="L86">
        <f t="shared" si="21"/>
        <v>0</v>
      </c>
      <c r="M86">
        <f t="shared" si="21"/>
        <v>0</v>
      </c>
      <c r="N86">
        <f t="shared" si="21"/>
        <v>0</v>
      </c>
      <c r="O86">
        <f t="shared" si="21"/>
        <v>0</v>
      </c>
      <c r="P86">
        <f t="shared" si="21"/>
        <v>0</v>
      </c>
      <c r="Q86">
        <f t="shared" si="21"/>
        <v>0</v>
      </c>
      <c r="R86">
        <f t="shared" si="21"/>
        <v>0</v>
      </c>
      <c r="S86">
        <f t="shared" si="21"/>
        <v>0</v>
      </c>
      <c r="T86">
        <f t="shared" si="21"/>
        <v>0</v>
      </c>
      <c r="U86">
        <f t="shared" si="21"/>
        <v>0</v>
      </c>
      <c r="V86">
        <f t="shared" si="21"/>
        <v>0</v>
      </c>
      <c r="W86">
        <f t="shared" si="21"/>
        <v>0</v>
      </c>
      <c r="X86">
        <f t="shared" si="21"/>
        <v>0</v>
      </c>
      <c r="Y86">
        <f t="shared" si="21"/>
        <v>0</v>
      </c>
      <c r="Z86">
        <f t="shared" si="21"/>
        <v>0</v>
      </c>
      <c r="AA86">
        <f t="shared" si="21"/>
        <v>0</v>
      </c>
    </row>
    <row r="87" spans="1:27">
      <c r="A87" s="3" t="s">
        <v>153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3" t="s">
        <v>374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11" t="s">
        <v>375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3" t="s">
        <v>154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11" t="s">
        <v>375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3" t="s">
        <v>155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3" t="s">
        <v>156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t="s">
        <v>132</v>
      </c>
      <c r="D94">
        <f>SUM(D95:D97,D99,D101,D103:D104)</f>
        <v>0</v>
      </c>
      <c r="E94">
        <f t="shared" ref="E94:AA94" si="22">SUM(E95:E97,E99,E101,E103:E104)</f>
        <v>0</v>
      </c>
      <c r="F94">
        <f t="shared" si="22"/>
        <v>0</v>
      </c>
      <c r="G94">
        <f t="shared" si="22"/>
        <v>0</v>
      </c>
      <c r="H94">
        <f t="shared" si="22"/>
        <v>0</v>
      </c>
      <c r="I94">
        <f t="shared" si="22"/>
        <v>0</v>
      </c>
      <c r="J94">
        <f t="shared" si="22"/>
        <v>0</v>
      </c>
      <c r="K94">
        <f t="shared" si="22"/>
        <v>0</v>
      </c>
      <c r="L94">
        <f t="shared" si="22"/>
        <v>0</v>
      </c>
      <c r="M94">
        <f t="shared" si="22"/>
        <v>0</v>
      </c>
      <c r="N94">
        <f t="shared" si="22"/>
        <v>0</v>
      </c>
      <c r="O94">
        <f t="shared" si="22"/>
        <v>0</v>
      </c>
      <c r="P94">
        <f t="shared" si="22"/>
        <v>0</v>
      </c>
      <c r="Q94">
        <f t="shared" si="22"/>
        <v>0</v>
      </c>
      <c r="R94">
        <f t="shared" si="22"/>
        <v>0</v>
      </c>
      <c r="S94">
        <f t="shared" si="22"/>
        <v>0</v>
      </c>
      <c r="T94">
        <f t="shared" si="22"/>
        <v>0</v>
      </c>
      <c r="U94">
        <f t="shared" si="22"/>
        <v>0</v>
      </c>
      <c r="V94">
        <f t="shared" si="22"/>
        <v>0</v>
      </c>
      <c r="W94">
        <f t="shared" si="22"/>
        <v>0</v>
      </c>
      <c r="X94">
        <f t="shared" si="22"/>
        <v>0</v>
      </c>
      <c r="Y94">
        <f t="shared" si="22"/>
        <v>0</v>
      </c>
      <c r="Z94">
        <f t="shared" si="22"/>
        <v>0</v>
      </c>
      <c r="AA94">
        <f t="shared" si="22"/>
        <v>0</v>
      </c>
    </row>
    <row r="95" spans="1:27">
      <c r="A95" s="3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3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3" t="s">
        <v>159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11" t="s">
        <v>375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3" t="s">
        <v>160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11" t="s">
        <v>375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3" t="s">
        <v>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11" t="s">
        <v>375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3" t="s">
        <v>161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3" t="s">
        <v>162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t="s">
        <v>163</v>
      </c>
      <c r="D105">
        <f>D86-D94</f>
        <v>0</v>
      </c>
      <c r="E105">
        <f>E86-E94</f>
        <v>0</v>
      </c>
      <c r="F105">
        <f t="shared" ref="F105:AA105" si="23">F86-F94</f>
        <v>0</v>
      </c>
      <c r="G105">
        <f t="shared" si="23"/>
        <v>0</v>
      </c>
      <c r="H105">
        <f t="shared" si="23"/>
        <v>0</v>
      </c>
      <c r="I105">
        <f t="shared" si="23"/>
        <v>0</v>
      </c>
      <c r="J105">
        <f t="shared" si="23"/>
        <v>0</v>
      </c>
      <c r="K105">
        <f t="shared" si="23"/>
        <v>0</v>
      </c>
      <c r="L105">
        <f t="shared" si="23"/>
        <v>0</v>
      </c>
      <c r="M105">
        <f t="shared" si="23"/>
        <v>0</v>
      </c>
      <c r="N105">
        <f t="shared" si="23"/>
        <v>0</v>
      </c>
      <c r="O105">
        <f t="shared" si="23"/>
        <v>0</v>
      </c>
      <c r="P105">
        <f t="shared" si="23"/>
        <v>0</v>
      </c>
      <c r="Q105">
        <f t="shared" si="23"/>
        <v>0</v>
      </c>
      <c r="R105">
        <f t="shared" si="23"/>
        <v>0</v>
      </c>
      <c r="S105">
        <f t="shared" si="23"/>
        <v>0</v>
      </c>
      <c r="T105">
        <f t="shared" si="23"/>
        <v>0</v>
      </c>
      <c r="U105">
        <f t="shared" si="23"/>
        <v>0</v>
      </c>
      <c r="V105">
        <f t="shared" si="23"/>
        <v>0</v>
      </c>
      <c r="W105">
        <f t="shared" si="23"/>
        <v>0</v>
      </c>
      <c r="X105">
        <f t="shared" si="23"/>
        <v>0</v>
      </c>
      <c r="Y105">
        <f t="shared" si="23"/>
        <v>0</v>
      </c>
      <c r="Z105">
        <f t="shared" si="23"/>
        <v>0</v>
      </c>
      <c r="AA105">
        <f t="shared" si="23"/>
        <v>0</v>
      </c>
    </row>
    <row r="107" spans="1:27">
      <c r="A107" t="s">
        <v>164</v>
      </c>
      <c r="D107">
        <f>D77+D83+D105</f>
        <v>0</v>
      </c>
      <c r="E107">
        <f>E77+E83+E105</f>
        <v>0</v>
      </c>
      <c r="F107">
        <f t="shared" ref="F107:AA107" si="24">F77+F83+F105</f>
        <v>0</v>
      </c>
      <c r="G107">
        <f t="shared" si="24"/>
        <v>0</v>
      </c>
      <c r="H107">
        <f t="shared" si="24"/>
        <v>0</v>
      </c>
      <c r="I107">
        <f t="shared" si="24"/>
        <v>0</v>
      </c>
      <c r="J107">
        <f t="shared" si="24"/>
        <v>0</v>
      </c>
      <c r="K107">
        <f t="shared" si="24"/>
        <v>0</v>
      </c>
      <c r="L107">
        <f t="shared" si="24"/>
        <v>0</v>
      </c>
      <c r="M107">
        <f t="shared" si="24"/>
        <v>0</v>
      </c>
      <c r="N107">
        <f t="shared" si="24"/>
        <v>0</v>
      </c>
      <c r="O107">
        <f t="shared" si="24"/>
        <v>0</v>
      </c>
      <c r="P107">
        <f t="shared" si="24"/>
        <v>0</v>
      </c>
      <c r="Q107">
        <f t="shared" si="24"/>
        <v>0</v>
      </c>
      <c r="R107">
        <f t="shared" si="24"/>
        <v>0</v>
      </c>
      <c r="S107">
        <f t="shared" si="24"/>
        <v>0</v>
      </c>
      <c r="T107">
        <f t="shared" si="24"/>
        <v>0</v>
      </c>
      <c r="U107">
        <f t="shared" si="24"/>
        <v>0</v>
      </c>
      <c r="V107">
        <f t="shared" si="24"/>
        <v>0</v>
      </c>
      <c r="W107">
        <f t="shared" si="24"/>
        <v>0</v>
      </c>
      <c r="X107">
        <f t="shared" si="24"/>
        <v>0</v>
      </c>
      <c r="Y107">
        <f t="shared" si="24"/>
        <v>0</v>
      </c>
      <c r="Z107">
        <f t="shared" si="24"/>
        <v>0</v>
      </c>
      <c r="AA107">
        <f t="shared" si="24"/>
        <v>0</v>
      </c>
    </row>
    <row r="109" spans="1:27">
      <c r="A109" t="s">
        <v>134</v>
      </c>
      <c r="D109" s="5"/>
      <c r="E109">
        <f>D110</f>
        <v>0</v>
      </c>
      <c r="F109">
        <f t="shared" ref="F109:AA109" si="25">E110</f>
        <v>0</v>
      </c>
      <c r="G109">
        <f t="shared" si="25"/>
        <v>0</v>
      </c>
      <c r="H109">
        <f t="shared" si="25"/>
        <v>0</v>
      </c>
      <c r="I109">
        <f t="shared" si="25"/>
        <v>0</v>
      </c>
      <c r="J109">
        <f t="shared" si="25"/>
        <v>0</v>
      </c>
      <c r="K109">
        <f t="shared" si="25"/>
        <v>0</v>
      </c>
      <c r="L109">
        <f t="shared" si="25"/>
        <v>0</v>
      </c>
      <c r="M109">
        <f t="shared" si="25"/>
        <v>0</v>
      </c>
      <c r="N109">
        <f t="shared" si="25"/>
        <v>0</v>
      </c>
      <c r="O109">
        <f t="shared" si="25"/>
        <v>0</v>
      </c>
      <c r="P109">
        <f t="shared" si="25"/>
        <v>0</v>
      </c>
      <c r="Q109">
        <f t="shared" si="25"/>
        <v>0</v>
      </c>
      <c r="R109">
        <f t="shared" si="25"/>
        <v>0</v>
      </c>
      <c r="S109">
        <f t="shared" si="25"/>
        <v>0</v>
      </c>
      <c r="T109">
        <f t="shared" si="25"/>
        <v>0</v>
      </c>
      <c r="U109">
        <f t="shared" si="25"/>
        <v>0</v>
      </c>
      <c r="V109">
        <f t="shared" si="25"/>
        <v>0</v>
      </c>
      <c r="W109">
        <f t="shared" si="25"/>
        <v>0</v>
      </c>
      <c r="X109">
        <f t="shared" si="25"/>
        <v>0</v>
      </c>
      <c r="Y109">
        <f t="shared" si="25"/>
        <v>0</v>
      </c>
      <c r="Z109">
        <f t="shared" si="25"/>
        <v>0</v>
      </c>
      <c r="AA109">
        <f t="shared" si="25"/>
        <v>0</v>
      </c>
    </row>
    <row r="110" spans="1:27">
      <c r="A110" t="s">
        <v>165</v>
      </c>
      <c r="D110">
        <f>D109+D107</f>
        <v>0</v>
      </c>
      <c r="E110">
        <f>E109+E107</f>
        <v>0</v>
      </c>
      <c r="F110">
        <f t="shared" ref="F110:AA110" si="26">F109+F107</f>
        <v>0</v>
      </c>
      <c r="G110">
        <f t="shared" si="26"/>
        <v>0</v>
      </c>
      <c r="H110">
        <f t="shared" si="26"/>
        <v>0</v>
      </c>
      <c r="I110">
        <f t="shared" si="26"/>
        <v>0</v>
      </c>
      <c r="J110">
        <f t="shared" si="26"/>
        <v>0</v>
      </c>
      <c r="K110">
        <f t="shared" si="26"/>
        <v>0</v>
      </c>
      <c r="L110">
        <f t="shared" si="26"/>
        <v>0</v>
      </c>
      <c r="M110">
        <f t="shared" si="26"/>
        <v>0</v>
      </c>
      <c r="N110">
        <f t="shared" si="26"/>
        <v>0</v>
      </c>
      <c r="O110">
        <f t="shared" si="26"/>
        <v>0</v>
      </c>
      <c r="P110">
        <f t="shared" si="26"/>
        <v>0</v>
      </c>
      <c r="Q110">
        <f t="shared" si="26"/>
        <v>0</v>
      </c>
      <c r="R110">
        <f t="shared" si="26"/>
        <v>0</v>
      </c>
      <c r="S110">
        <f t="shared" si="26"/>
        <v>0</v>
      </c>
      <c r="T110">
        <f t="shared" si="26"/>
        <v>0</v>
      </c>
      <c r="U110">
        <f t="shared" si="26"/>
        <v>0</v>
      </c>
      <c r="V110">
        <f t="shared" si="26"/>
        <v>0</v>
      </c>
      <c r="W110">
        <f t="shared" si="26"/>
        <v>0</v>
      </c>
      <c r="X110">
        <f t="shared" si="26"/>
        <v>0</v>
      </c>
      <c r="Y110">
        <f t="shared" si="26"/>
        <v>0</v>
      </c>
      <c r="Z110">
        <f t="shared" si="26"/>
        <v>0</v>
      </c>
      <c r="AA110">
        <f t="shared" si="26"/>
        <v>0</v>
      </c>
    </row>
    <row r="113" spans="1:1">
      <c r="A113" s="4" t="s">
        <v>300</v>
      </c>
    </row>
    <row r="115" spans="1:1" ht="72">
      <c r="A115" s="35" t="s">
        <v>386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I6"/>
  <sheetViews>
    <sheetView workbookViewId="0"/>
  </sheetViews>
  <sheetFormatPr defaultRowHeight="14.4"/>
  <cols>
    <col min="1" max="1" width="23" bestFit="1" customWidth="1"/>
    <col min="2" max="2" width="40" customWidth="1"/>
  </cols>
  <sheetData>
    <row r="1" spans="1: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240</v>
      </c>
      <c r="B2" s="5"/>
    </row>
    <row r="3" spans="1:35">
      <c r="A3" s="4" t="s">
        <v>241</v>
      </c>
      <c r="B3" s="5"/>
    </row>
    <row r="4" spans="1:35">
      <c r="A4" s="4" t="s">
        <v>242</v>
      </c>
      <c r="B4" s="5"/>
    </row>
    <row r="6" spans="1:35">
      <c r="A6" s="4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D58"/>
  <sheetViews>
    <sheetView workbookViewId="0"/>
  </sheetViews>
  <sheetFormatPr defaultRowHeight="14.4"/>
  <cols>
    <col min="1" max="1" width="72.5546875" bestFit="1" customWidth="1"/>
    <col min="2" max="2" width="13.6640625" style="13" customWidth="1"/>
    <col min="3" max="27" width="13.6640625" customWidth="1"/>
    <col min="28" max="35" width="12.6640625" customWidth="1"/>
  </cols>
  <sheetData>
    <row r="1" spans="1:1024 1026:2048 2050:3072 3074:4096 4098:5120 5122:6144 6146:7168 7170:8192 8194:9216 9218:10240 10242:11264 11266:12288 12290:13312 13314:14336 14338:15360 15362:16384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/>
    </row>
    <row r="3" spans="1:1024 1026:2048 2050:3072 3074:4096 4098:5120 5122:6144 6146:7168 7170:8192 8194:9216 9218:10240 10242:11264 11266:12288 12290:13312 13314:14336 14338:15360 15362:16384">
      <c r="A3" s="4" t="s">
        <v>75</v>
      </c>
    </row>
    <row r="5" spans="1:1024 1026:2048 2050:3072 3074:4096 4098:5120 5122:6144 6146:7168 7170:8192 8194:9216 9218:10240 10242:11264 11266:12288 12290:13312 13314:14336 14338:15360 15362:16384">
      <c r="A5" t="s">
        <v>73</v>
      </c>
      <c r="B5" s="13" t="s">
        <v>74</v>
      </c>
      <c r="E5" s="7">
        <f>Założenia!D24</f>
        <v>800000</v>
      </c>
      <c r="F5" s="7">
        <f>E5</f>
        <v>800000</v>
      </c>
      <c r="G5" s="7">
        <f t="shared" ref="G5:AA5" si="0">F5</f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/>
    </row>
    <row r="6" spans="1:1024 1026:2048 2050:3072 3074:4096 4098:5120 5122:6144 6146:7168 7170:8192 8194:9216 9218:10240 10242:11264 11266:12288 12290:13312 13314:14336 14338:15360 15362:16384">
      <c r="A6" t="s">
        <v>77</v>
      </c>
      <c r="B6" s="13" t="s">
        <v>13</v>
      </c>
      <c r="E6" s="1">
        <f>Założenia!$D$26</f>
        <v>1</v>
      </c>
      <c r="F6" s="1">
        <f>Założenia!$D$26</f>
        <v>1</v>
      </c>
      <c r="G6" s="1">
        <f>Założenia!$D$26</f>
        <v>1</v>
      </c>
      <c r="H6" s="1">
        <f>Założenia!$D$26</f>
        <v>1</v>
      </c>
      <c r="I6" s="1">
        <f>Założenia!$D$26</f>
        <v>1</v>
      </c>
      <c r="J6" s="1">
        <f>Założenia!$D$26</f>
        <v>1</v>
      </c>
      <c r="K6" s="1">
        <f>Założenia!$D$26</f>
        <v>1</v>
      </c>
      <c r="L6" s="1">
        <f>Założenia!$D$26</f>
        <v>1</v>
      </c>
      <c r="M6" s="1">
        <f>Założenia!$D$26</f>
        <v>1</v>
      </c>
      <c r="N6" s="1">
        <f>Założenia!$D$26</f>
        <v>1</v>
      </c>
      <c r="O6" s="1">
        <f>Założenia!$D$26</f>
        <v>1</v>
      </c>
      <c r="P6" s="1">
        <f>Założenia!$D$26</f>
        <v>1</v>
      </c>
      <c r="Q6" s="1">
        <f>Założenia!$D$26</f>
        <v>1</v>
      </c>
      <c r="R6" s="1">
        <f>Założenia!$D$26</f>
        <v>1</v>
      </c>
      <c r="S6" s="1">
        <f>Założenia!$D$26</f>
        <v>1</v>
      </c>
      <c r="T6" s="1">
        <f>Założenia!$D$26</f>
        <v>1</v>
      </c>
      <c r="U6" s="1">
        <f>Założenia!$D$26</f>
        <v>1</v>
      </c>
      <c r="V6" s="1">
        <f>Założenia!$D$26</f>
        <v>1</v>
      </c>
      <c r="W6" s="1">
        <f>Założenia!$D$26</f>
        <v>1</v>
      </c>
      <c r="X6" s="1">
        <f>Założenia!$D$26</f>
        <v>1</v>
      </c>
      <c r="Y6" s="1">
        <f>Założenia!$D$26</f>
        <v>1</v>
      </c>
      <c r="Z6" s="1">
        <f>Założenia!$D$26</f>
        <v>1</v>
      </c>
      <c r="AA6" s="1">
        <f>Założenia!$D$26</f>
        <v>1</v>
      </c>
      <c r="AB6" s="1"/>
    </row>
    <row r="7" spans="1:1024 1026:2048 2050:3072 3074:4096 4098:5120 5122:6144 6146:7168 7170:8192 8194:9216 9218:10240 10242:11264 11266:12288 12290:13312 13314:14336 14338:15360 15362:16384">
      <c r="A7" s="38" t="str">
        <f>Założenia!$D$34</f>
        <v>Typ 1</v>
      </c>
      <c r="B7" s="13" t="s">
        <v>74</v>
      </c>
      <c r="E7" s="7">
        <f>E$5*Założenia!$D27</f>
        <v>320000</v>
      </c>
      <c r="F7" s="7">
        <f>F$5*Założenia!$D27</f>
        <v>320000</v>
      </c>
      <c r="G7" s="7">
        <f>G$5*Założenia!$D27</f>
        <v>320000</v>
      </c>
      <c r="H7" s="7">
        <f>H$5*Założenia!$D27</f>
        <v>320000</v>
      </c>
      <c r="I7" s="7">
        <f>I$5*Założenia!$D27</f>
        <v>320000</v>
      </c>
      <c r="J7" s="7">
        <f>J$5*Założenia!$D27</f>
        <v>320000</v>
      </c>
      <c r="K7" s="7">
        <f>K$5*Założenia!$D27</f>
        <v>320000</v>
      </c>
      <c r="L7" s="7">
        <f>L$5*Założenia!$D27</f>
        <v>320000</v>
      </c>
      <c r="M7" s="7">
        <f>M$5*Założenia!$D27</f>
        <v>320000</v>
      </c>
      <c r="N7" s="7">
        <f>N$5*Założenia!$D27</f>
        <v>320000</v>
      </c>
      <c r="O7" s="7">
        <f>O$5*Założenia!$D27</f>
        <v>320000</v>
      </c>
      <c r="P7" s="7">
        <f>P$5*Założenia!$D27</f>
        <v>320000</v>
      </c>
      <c r="Q7" s="7">
        <f>Q$5*Założenia!$D27</f>
        <v>320000</v>
      </c>
      <c r="R7" s="7">
        <f>R$5*Założenia!$D27</f>
        <v>320000</v>
      </c>
      <c r="S7" s="7">
        <f>S$5*Założenia!$D27</f>
        <v>320000</v>
      </c>
      <c r="T7" s="7">
        <f>T$5*Założenia!$D27</f>
        <v>320000</v>
      </c>
      <c r="U7" s="7">
        <f>U$5*Założenia!$D27</f>
        <v>320000</v>
      </c>
      <c r="V7" s="7">
        <f>V$5*Założenia!$D27</f>
        <v>320000</v>
      </c>
      <c r="W7" s="7">
        <f>W$5*Założenia!$D27</f>
        <v>320000</v>
      </c>
      <c r="X7" s="7">
        <f>X$5*Założenia!$D27</f>
        <v>320000</v>
      </c>
      <c r="Y7" s="7">
        <f>Y$5*Założenia!$D27</f>
        <v>320000</v>
      </c>
      <c r="Z7" s="7">
        <f>Z$5*Założenia!$D27</f>
        <v>320000</v>
      </c>
      <c r="AA7" s="7">
        <f>AA$5*Założenia!$D27</f>
        <v>320000</v>
      </c>
      <c r="AB7" s="7"/>
    </row>
    <row r="8" spans="1:1024 1026:2048 2050:3072 3074:4096 4098:5120 5122:6144 6146:7168 7170:8192 8194:9216 9218:10240 10242:11264 11266:12288 12290:13312 13314:14336 14338:15360 15362:16384">
      <c r="A8" s="38" t="str">
        <f>Założenia!$E$34</f>
        <v>Typ 2</v>
      </c>
      <c r="B8" s="13" t="s">
        <v>74</v>
      </c>
      <c r="E8" s="7">
        <f>E$5*Założenia!$D28</f>
        <v>320000</v>
      </c>
      <c r="F8" s="7">
        <f>F$5*Założenia!$D28</f>
        <v>320000</v>
      </c>
      <c r="G8" s="7">
        <f>G$5*Założenia!$D28</f>
        <v>320000</v>
      </c>
      <c r="H8" s="7">
        <f>H$5*Założenia!$D28</f>
        <v>320000</v>
      </c>
      <c r="I8" s="7">
        <f>I$5*Założenia!$D28</f>
        <v>320000</v>
      </c>
      <c r="J8" s="7">
        <f>J$5*Założenia!$D28</f>
        <v>320000</v>
      </c>
      <c r="K8" s="7">
        <f>K$5*Założenia!$D28</f>
        <v>320000</v>
      </c>
      <c r="L8" s="7">
        <f>L$5*Założenia!$D28</f>
        <v>320000</v>
      </c>
      <c r="M8" s="7">
        <f>M$5*Założenia!$D28</f>
        <v>320000</v>
      </c>
      <c r="N8" s="7">
        <f>N$5*Założenia!$D28</f>
        <v>320000</v>
      </c>
      <c r="O8" s="7">
        <f>O$5*Założenia!$D28</f>
        <v>320000</v>
      </c>
      <c r="P8" s="7">
        <f>P$5*Założenia!$D28</f>
        <v>320000</v>
      </c>
      <c r="Q8" s="7">
        <f>Q$5*Założenia!$D28</f>
        <v>320000</v>
      </c>
      <c r="R8" s="7">
        <f>R$5*Założenia!$D28</f>
        <v>320000</v>
      </c>
      <c r="S8" s="7">
        <f>S$5*Założenia!$D28</f>
        <v>320000</v>
      </c>
      <c r="T8" s="7">
        <f>T$5*Założenia!$D28</f>
        <v>320000</v>
      </c>
      <c r="U8" s="7">
        <f>U$5*Założenia!$D28</f>
        <v>320000</v>
      </c>
      <c r="V8" s="7">
        <f>V$5*Założenia!$D28</f>
        <v>320000</v>
      </c>
      <c r="W8" s="7">
        <f>W$5*Założenia!$D28</f>
        <v>320000</v>
      </c>
      <c r="X8" s="7">
        <f>X$5*Założenia!$D28</f>
        <v>320000</v>
      </c>
      <c r="Y8" s="7">
        <f>Y$5*Założenia!$D28</f>
        <v>320000</v>
      </c>
      <c r="Z8" s="7">
        <f>Z$5*Założenia!$D28</f>
        <v>320000</v>
      </c>
      <c r="AA8" s="7">
        <f>AA$5*Założenia!$D28</f>
        <v>320000</v>
      </c>
      <c r="AB8" s="7"/>
    </row>
    <row r="9" spans="1:1024 1026:2048 2050:3072 3074:4096 4098:5120 5122:6144 6146:7168 7170:8192 8194:9216 9218:10240 10242:11264 11266:12288 12290:13312 13314:14336 14338:15360 15362:16384">
      <c r="A9" s="38" t="str">
        <f>Założenia!$F$34</f>
        <v>Typ 3</v>
      </c>
      <c r="B9" s="13" t="s">
        <v>74</v>
      </c>
      <c r="E9" s="7">
        <f>E$5*Założenia!$D29</f>
        <v>160000</v>
      </c>
      <c r="F9" s="7">
        <f>F$5*Założenia!$D29</f>
        <v>160000</v>
      </c>
      <c r="G9" s="7">
        <f>G$5*Założenia!$D29</f>
        <v>160000</v>
      </c>
      <c r="H9" s="7">
        <f>H$5*Założenia!$D29</f>
        <v>160000</v>
      </c>
      <c r="I9" s="7">
        <f>I$5*Założenia!$D29</f>
        <v>160000</v>
      </c>
      <c r="J9" s="7">
        <f>J$5*Założenia!$D29</f>
        <v>160000</v>
      </c>
      <c r="K9" s="7">
        <f>K$5*Założenia!$D29</f>
        <v>160000</v>
      </c>
      <c r="L9" s="7">
        <f>L$5*Założenia!$D29</f>
        <v>160000</v>
      </c>
      <c r="M9" s="7">
        <f>M$5*Założenia!$D29</f>
        <v>160000</v>
      </c>
      <c r="N9" s="7">
        <f>N$5*Założenia!$D29</f>
        <v>160000</v>
      </c>
      <c r="O9" s="7">
        <f>O$5*Założenia!$D29</f>
        <v>160000</v>
      </c>
      <c r="P9" s="7">
        <f>P$5*Założenia!$D29</f>
        <v>160000</v>
      </c>
      <c r="Q9" s="7">
        <f>Q$5*Założenia!$D29</f>
        <v>160000</v>
      </c>
      <c r="R9" s="7">
        <f>R$5*Założenia!$D29</f>
        <v>160000</v>
      </c>
      <c r="S9" s="7">
        <f>S$5*Założenia!$D29</f>
        <v>160000</v>
      </c>
      <c r="T9" s="7">
        <f>T$5*Założenia!$D29</f>
        <v>160000</v>
      </c>
      <c r="U9" s="7">
        <f>U$5*Założenia!$D29</f>
        <v>160000</v>
      </c>
      <c r="V9" s="7">
        <f>V$5*Założenia!$D29</f>
        <v>160000</v>
      </c>
      <c r="W9" s="7">
        <f>W$5*Założenia!$D29</f>
        <v>160000</v>
      </c>
      <c r="X9" s="7">
        <f>X$5*Założenia!$D29</f>
        <v>160000</v>
      </c>
      <c r="Y9" s="7">
        <f>Y$5*Założenia!$D29</f>
        <v>160000</v>
      </c>
      <c r="Z9" s="7">
        <f>Z$5*Założenia!$D29</f>
        <v>160000</v>
      </c>
      <c r="AA9" s="7">
        <f>AA$5*Założenia!$D29</f>
        <v>160000</v>
      </c>
      <c r="AB9" s="7"/>
    </row>
    <row r="10" spans="1:1024 1026:2048 2050:3072 3074:4096 4098:5120 5122:6144 6146:7168 7170:8192 8194:9216 9218:10240 10242:11264 11266:12288 12290:13312 13314:14336 14338:15360 15362:16384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1024 1026:2048 2050:3072 3074:4096 4098:5120 5122:6144 6146:7168 7170:8192 8194:9216 9218:10240 10242:11264 11266:12288 12290:13312 13314:14336 14338:15360 15362:16384">
      <c r="A11" t="s">
        <v>46</v>
      </c>
      <c r="D11" s="13"/>
      <c r="F11" s="13"/>
      <c r="H11" s="13"/>
      <c r="J11" s="13"/>
      <c r="L11" s="13"/>
      <c r="N11" s="13"/>
      <c r="P11" s="13"/>
      <c r="R11" s="13"/>
      <c r="T11" s="13"/>
      <c r="V11" s="13"/>
      <c r="X11" s="13"/>
      <c r="Z11" s="13"/>
      <c r="AB11" s="13"/>
      <c r="AJ11" s="13"/>
      <c r="AL11" s="13"/>
      <c r="AN11" s="13"/>
      <c r="AP11" s="13"/>
      <c r="AR11" s="13"/>
      <c r="AT11" s="13"/>
      <c r="AV11" s="13"/>
      <c r="AX11" s="13"/>
      <c r="AZ11" s="13"/>
      <c r="BB11" s="13"/>
      <c r="BD11" s="13"/>
      <c r="BF11" s="13"/>
      <c r="BH11" s="13"/>
      <c r="BJ11" s="13"/>
      <c r="BL11" s="13"/>
      <c r="BN11" s="13"/>
      <c r="BP11" s="13"/>
      <c r="BR11" s="13"/>
      <c r="BT11" s="13"/>
      <c r="BV11" s="13"/>
      <c r="BX11" s="13"/>
      <c r="BZ11" s="13"/>
      <c r="CB11" s="13"/>
      <c r="CD11" s="13"/>
      <c r="CF11" s="13"/>
      <c r="CH11" s="13"/>
      <c r="CJ11" s="13"/>
      <c r="CL11" s="13"/>
      <c r="CN11" s="13"/>
      <c r="CP11" s="13"/>
      <c r="CR11" s="13"/>
      <c r="CT11" s="13"/>
      <c r="CV11" s="13"/>
      <c r="CX11" s="13"/>
      <c r="CZ11" s="13"/>
      <c r="DB11" s="13"/>
      <c r="DD11" s="13"/>
      <c r="DF11" s="13"/>
      <c r="DH11" s="13"/>
      <c r="DJ11" s="13"/>
      <c r="DL11" s="13"/>
      <c r="DN11" s="13"/>
      <c r="DP11" s="13"/>
      <c r="DR11" s="13"/>
      <c r="DT11" s="13"/>
      <c r="DV11" s="13"/>
      <c r="DX11" s="13"/>
      <c r="DZ11" s="13"/>
      <c r="EB11" s="13"/>
      <c r="ED11" s="13"/>
      <c r="EF11" s="13"/>
      <c r="EH11" s="13"/>
      <c r="EJ11" s="13"/>
      <c r="EL11" s="13"/>
      <c r="EN11" s="13"/>
      <c r="EP11" s="13"/>
      <c r="ER11" s="13"/>
      <c r="ET11" s="13"/>
      <c r="EV11" s="13"/>
      <c r="EX11" s="13"/>
      <c r="EZ11" s="13"/>
      <c r="FB11" s="13"/>
      <c r="FD11" s="13"/>
      <c r="FF11" s="13"/>
      <c r="FH11" s="13"/>
      <c r="FJ11" s="13"/>
      <c r="FL11" s="13"/>
      <c r="FN11" s="13"/>
      <c r="FP11" s="13"/>
      <c r="FR11" s="13"/>
      <c r="FT11" s="13"/>
      <c r="FV11" s="13"/>
      <c r="FX11" s="13"/>
      <c r="FZ11" s="13"/>
      <c r="GB11" s="13"/>
      <c r="GD11" s="13"/>
      <c r="GF11" s="13"/>
      <c r="GH11" s="13"/>
      <c r="GJ11" s="13"/>
      <c r="GL11" s="13"/>
      <c r="GN11" s="13"/>
      <c r="GP11" s="13"/>
      <c r="GR11" s="13"/>
      <c r="GT11" s="13"/>
      <c r="GV11" s="13"/>
      <c r="GX11" s="13"/>
      <c r="GZ11" s="13"/>
      <c r="HB11" s="13"/>
      <c r="HD11" s="13"/>
      <c r="HF11" s="13"/>
      <c r="HH11" s="13"/>
      <c r="HJ11" s="13"/>
      <c r="HL11" s="13"/>
      <c r="HN11" s="13"/>
      <c r="HP11" s="13"/>
      <c r="HR11" s="13"/>
      <c r="HT11" s="13"/>
      <c r="HV11" s="13"/>
      <c r="HX11" s="13"/>
      <c r="HZ11" s="13"/>
      <c r="IB11" s="13"/>
      <c r="ID11" s="13"/>
      <c r="IF11" s="13"/>
      <c r="IH11" s="13"/>
      <c r="IJ11" s="13"/>
      <c r="IL11" s="13"/>
      <c r="IN11" s="13"/>
      <c r="IP11" s="13"/>
      <c r="IR11" s="13"/>
      <c r="IT11" s="13"/>
      <c r="IV11" s="13"/>
      <c r="IX11" s="13"/>
      <c r="IZ11" s="13"/>
      <c r="JB11" s="13"/>
      <c r="JD11" s="13"/>
      <c r="JF11" s="13"/>
      <c r="JH11" s="13"/>
      <c r="JJ11" s="13"/>
      <c r="JL11" s="13"/>
      <c r="JN11" s="13"/>
      <c r="JP11" s="13"/>
      <c r="JR11" s="13"/>
      <c r="JT11" s="13"/>
      <c r="JV11" s="13"/>
      <c r="JX11" s="13"/>
      <c r="JZ11" s="13"/>
      <c r="KB11" s="13"/>
      <c r="KD11" s="13"/>
      <c r="KF11" s="13"/>
      <c r="KH11" s="13"/>
      <c r="KJ11" s="13"/>
      <c r="KL11" s="13"/>
      <c r="KN11" s="13"/>
      <c r="KP11" s="13"/>
      <c r="KR11" s="13"/>
      <c r="KT11" s="13"/>
      <c r="KV11" s="13"/>
      <c r="KX11" s="13"/>
      <c r="KZ11" s="13"/>
      <c r="LB11" s="13"/>
      <c r="LD11" s="13"/>
      <c r="LF11" s="13"/>
      <c r="LH11" s="13"/>
      <c r="LJ11" s="13"/>
      <c r="LL11" s="13"/>
      <c r="LN11" s="13"/>
      <c r="LP11" s="13"/>
      <c r="LR11" s="13"/>
      <c r="LT11" s="13"/>
      <c r="LV11" s="13"/>
      <c r="LX11" s="13"/>
      <c r="LZ11" s="13"/>
      <c r="MB11" s="13"/>
      <c r="MD11" s="13"/>
      <c r="MF11" s="13"/>
      <c r="MH11" s="13"/>
      <c r="MJ11" s="13"/>
      <c r="ML11" s="13"/>
      <c r="MN11" s="13"/>
      <c r="MP11" s="13"/>
      <c r="MR11" s="13"/>
      <c r="MT11" s="13"/>
      <c r="MV11" s="13"/>
      <c r="MX11" s="13"/>
      <c r="MZ11" s="13"/>
      <c r="NB11" s="13"/>
      <c r="ND11" s="13"/>
      <c r="NF11" s="13"/>
      <c r="NH11" s="13"/>
      <c r="NJ11" s="13"/>
      <c r="NL11" s="13"/>
      <c r="NN11" s="13"/>
      <c r="NP11" s="13"/>
      <c r="NR11" s="13"/>
      <c r="NT11" s="13"/>
      <c r="NV11" s="13"/>
      <c r="NX11" s="13"/>
      <c r="NZ11" s="13"/>
      <c r="OB11" s="13"/>
      <c r="OD11" s="13"/>
      <c r="OF11" s="13"/>
      <c r="OH11" s="13"/>
      <c r="OJ11" s="13"/>
      <c r="OL11" s="13"/>
      <c r="ON11" s="13"/>
      <c r="OP11" s="13"/>
      <c r="OR11" s="13"/>
      <c r="OT11" s="13"/>
      <c r="OV11" s="13"/>
      <c r="OX11" s="13"/>
      <c r="OZ11" s="13"/>
      <c r="PB11" s="13"/>
      <c r="PD11" s="13"/>
      <c r="PF11" s="13"/>
      <c r="PH11" s="13"/>
      <c r="PJ11" s="13"/>
      <c r="PL11" s="13"/>
      <c r="PN11" s="13"/>
      <c r="PP11" s="13"/>
      <c r="PR11" s="13"/>
      <c r="PT11" s="13"/>
      <c r="PV11" s="13"/>
      <c r="PX11" s="13"/>
      <c r="PZ11" s="13"/>
      <c r="QB11" s="13"/>
      <c r="QD11" s="13"/>
      <c r="QF11" s="13"/>
      <c r="QH11" s="13"/>
      <c r="QJ11" s="13"/>
      <c r="QL11" s="13"/>
      <c r="QN11" s="13"/>
      <c r="QP11" s="13"/>
      <c r="QR11" s="13"/>
      <c r="QT11" s="13"/>
      <c r="QV11" s="13"/>
      <c r="QX11" s="13"/>
      <c r="QZ11" s="13"/>
      <c r="RB11" s="13"/>
      <c r="RD11" s="13"/>
      <c r="RF11" s="13"/>
      <c r="RH11" s="13"/>
      <c r="RJ11" s="13"/>
      <c r="RL11" s="13"/>
      <c r="RN11" s="13"/>
      <c r="RP11" s="13"/>
      <c r="RR11" s="13"/>
      <c r="RT11" s="13"/>
      <c r="RV11" s="13"/>
      <c r="RX11" s="13"/>
      <c r="RZ11" s="13"/>
      <c r="SB11" s="13"/>
      <c r="SD11" s="13"/>
      <c r="SF11" s="13"/>
      <c r="SH11" s="13"/>
      <c r="SJ11" s="13"/>
      <c r="SL11" s="13"/>
      <c r="SN11" s="13"/>
      <c r="SP11" s="13"/>
      <c r="SR11" s="13"/>
      <c r="ST11" s="13"/>
      <c r="SV11" s="13"/>
      <c r="SX11" s="13"/>
      <c r="SZ11" s="13"/>
      <c r="TB11" s="13"/>
      <c r="TD11" s="13"/>
      <c r="TF11" s="13"/>
      <c r="TH11" s="13"/>
      <c r="TJ11" s="13"/>
      <c r="TL11" s="13"/>
      <c r="TN11" s="13"/>
      <c r="TP11" s="13"/>
      <c r="TR11" s="13"/>
      <c r="TT11" s="13"/>
      <c r="TV11" s="13"/>
      <c r="TX11" s="13"/>
      <c r="TZ11" s="13"/>
      <c r="UB11" s="13"/>
      <c r="UD11" s="13"/>
      <c r="UF11" s="13"/>
      <c r="UH11" s="13"/>
      <c r="UJ11" s="13"/>
      <c r="UL11" s="13"/>
      <c r="UN11" s="13"/>
      <c r="UP11" s="13"/>
      <c r="UR11" s="13"/>
      <c r="UT11" s="13"/>
      <c r="UV11" s="13"/>
      <c r="UX11" s="13"/>
      <c r="UZ11" s="13"/>
      <c r="VB11" s="13"/>
      <c r="VD11" s="13"/>
      <c r="VF11" s="13"/>
      <c r="VH11" s="13"/>
      <c r="VJ11" s="13"/>
      <c r="VL11" s="13"/>
      <c r="VN11" s="13"/>
      <c r="VP11" s="13"/>
      <c r="VR11" s="13"/>
      <c r="VT11" s="13"/>
      <c r="VV11" s="13"/>
      <c r="VX11" s="13"/>
      <c r="VZ11" s="13"/>
      <c r="WB11" s="13"/>
      <c r="WD11" s="13"/>
      <c r="WF11" s="13"/>
      <c r="WH11" s="13"/>
      <c r="WJ11" s="13"/>
      <c r="WL11" s="13"/>
      <c r="WN11" s="13"/>
      <c r="WP11" s="13"/>
      <c r="WR11" s="13"/>
      <c r="WT11" s="13"/>
      <c r="WV11" s="13"/>
      <c r="WX11" s="13"/>
      <c r="WZ11" s="13"/>
      <c r="XB11" s="13"/>
      <c r="XD11" s="13"/>
      <c r="XF11" s="13"/>
      <c r="XH11" s="13"/>
      <c r="XJ11" s="13"/>
      <c r="XL11" s="13"/>
      <c r="XN11" s="13"/>
      <c r="XP11" s="13"/>
      <c r="XR11" s="13"/>
      <c r="XT11" s="13"/>
      <c r="XV11" s="13"/>
      <c r="XX11" s="13"/>
      <c r="XZ11" s="13"/>
      <c r="YB11" s="13"/>
      <c r="YD11" s="13"/>
      <c r="YF11" s="13"/>
      <c r="YH11" s="13"/>
      <c r="YJ11" s="13"/>
      <c r="YL11" s="13"/>
      <c r="YN11" s="13"/>
      <c r="YP11" s="13"/>
      <c r="YR11" s="13"/>
      <c r="YT11" s="13"/>
      <c r="YV11" s="13"/>
      <c r="YX11" s="13"/>
      <c r="YZ11" s="13"/>
      <c r="ZB11" s="13"/>
      <c r="ZD11" s="13"/>
      <c r="ZF11" s="13"/>
      <c r="ZH11" s="13"/>
      <c r="ZJ11" s="13"/>
      <c r="ZL11" s="13"/>
      <c r="ZN11" s="13"/>
      <c r="ZP11" s="13"/>
      <c r="ZR11" s="13"/>
      <c r="ZT11" s="13"/>
      <c r="ZV11" s="13"/>
      <c r="ZX11" s="13"/>
      <c r="ZZ11" s="13"/>
      <c r="AAB11" s="13"/>
      <c r="AAD11" s="13"/>
      <c r="AAF11" s="13"/>
      <c r="AAH11" s="13"/>
      <c r="AAJ11" s="13"/>
      <c r="AAL11" s="13"/>
      <c r="AAN11" s="13"/>
      <c r="AAP11" s="13"/>
      <c r="AAR11" s="13"/>
      <c r="AAT11" s="13"/>
      <c r="AAV11" s="13"/>
      <c r="AAX11" s="13"/>
      <c r="AAZ11" s="13"/>
      <c r="ABB11" s="13"/>
      <c r="ABD11" s="13"/>
      <c r="ABF11" s="13"/>
      <c r="ABH11" s="13"/>
      <c r="ABJ11" s="13"/>
      <c r="ABL11" s="13"/>
      <c r="ABN11" s="13"/>
      <c r="ABP11" s="13"/>
      <c r="ABR11" s="13"/>
      <c r="ABT11" s="13"/>
      <c r="ABV11" s="13"/>
      <c r="ABX11" s="13"/>
      <c r="ABZ11" s="13"/>
      <c r="ACB11" s="13"/>
      <c r="ACD11" s="13"/>
      <c r="ACF11" s="13"/>
      <c r="ACH11" s="13"/>
      <c r="ACJ11" s="13"/>
      <c r="ACL11" s="13"/>
      <c r="ACN11" s="13"/>
      <c r="ACP11" s="13"/>
      <c r="ACR11" s="13"/>
      <c r="ACT11" s="13"/>
      <c r="ACV11" s="13"/>
      <c r="ACX11" s="13"/>
      <c r="ACZ11" s="13"/>
      <c r="ADB11" s="13"/>
      <c r="ADD11" s="13"/>
      <c r="ADF11" s="13"/>
      <c r="ADH11" s="13"/>
      <c r="ADJ11" s="13"/>
      <c r="ADL11" s="13"/>
      <c r="ADN11" s="13"/>
      <c r="ADP11" s="13"/>
      <c r="ADR11" s="13"/>
      <c r="ADT11" s="13"/>
      <c r="ADV11" s="13"/>
      <c r="ADX11" s="13"/>
      <c r="ADZ11" s="13"/>
      <c r="AEB11" s="13"/>
      <c r="AED11" s="13"/>
      <c r="AEF11" s="13"/>
      <c r="AEH11" s="13"/>
      <c r="AEJ11" s="13"/>
      <c r="AEL11" s="13"/>
      <c r="AEN11" s="13"/>
      <c r="AEP11" s="13"/>
      <c r="AER11" s="13"/>
      <c r="AET11" s="13"/>
      <c r="AEV11" s="13"/>
      <c r="AEX11" s="13"/>
      <c r="AEZ11" s="13"/>
      <c r="AFB11" s="13"/>
      <c r="AFD11" s="13"/>
      <c r="AFF11" s="13"/>
      <c r="AFH11" s="13"/>
      <c r="AFJ11" s="13"/>
      <c r="AFL11" s="13"/>
      <c r="AFN11" s="13"/>
      <c r="AFP11" s="13"/>
      <c r="AFR11" s="13"/>
      <c r="AFT11" s="13"/>
      <c r="AFV11" s="13"/>
      <c r="AFX11" s="13"/>
      <c r="AFZ11" s="13"/>
      <c r="AGB11" s="13"/>
      <c r="AGD11" s="13"/>
      <c r="AGF11" s="13"/>
      <c r="AGH11" s="13"/>
      <c r="AGJ11" s="13"/>
      <c r="AGL11" s="13"/>
      <c r="AGN11" s="13"/>
      <c r="AGP11" s="13"/>
      <c r="AGR11" s="13"/>
      <c r="AGT11" s="13"/>
      <c r="AGV11" s="13"/>
      <c r="AGX11" s="13"/>
      <c r="AGZ11" s="13"/>
      <c r="AHB11" s="13"/>
      <c r="AHD11" s="13"/>
      <c r="AHF11" s="13"/>
      <c r="AHH11" s="13"/>
      <c r="AHJ11" s="13"/>
      <c r="AHL11" s="13"/>
      <c r="AHN11" s="13"/>
      <c r="AHP11" s="13"/>
      <c r="AHR11" s="13"/>
      <c r="AHT11" s="13"/>
      <c r="AHV11" s="13"/>
      <c r="AHX11" s="13"/>
      <c r="AHZ11" s="13"/>
      <c r="AIB11" s="13"/>
      <c r="AID11" s="13"/>
      <c r="AIF11" s="13"/>
      <c r="AIH11" s="13"/>
      <c r="AIJ11" s="13"/>
      <c r="AIL11" s="13"/>
      <c r="AIN11" s="13"/>
      <c r="AIP11" s="13"/>
      <c r="AIR11" s="13"/>
      <c r="AIT11" s="13"/>
      <c r="AIV11" s="13"/>
      <c r="AIX11" s="13"/>
      <c r="AIZ11" s="13"/>
      <c r="AJB11" s="13"/>
      <c r="AJD11" s="13"/>
      <c r="AJF11" s="13"/>
      <c r="AJH11" s="13"/>
      <c r="AJJ11" s="13"/>
      <c r="AJL11" s="13"/>
      <c r="AJN11" s="13"/>
      <c r="AJP11" s="13"/>
      <c r="AJR11" s="13"/>
      <c r="AJT11" s="13"/>
      <c r="AJV11" s="13"/>
      <c r="AJX11" s="13"/>
      <c r="AJZ11" s="13"/>
      <c r="AKB11" s="13"/>
      <c r="AKD11" s="13"/>
      <c r="AKF11" s="13"/>
      <c r="AKH11" s="13"/>
      <c r="AKJ11" s="13"/>
      <c r="AKL11" s="13"/>
      <c r="AKN11" s="13"/>
      <c r="AKP11" s="13"/>
      <c r="AKR11" s="13"/>
      <c r="AKT11" s="13"/>
      <c r="AKV11" s="13"/>
      <c r="AKX11" s="13"/>
      <c r="AKZ11" s="13"/>
      <c r="ALB11" s="13"/>
      <c r="ALD11" s="13"/>
      <c r="ALF11" s="13"/>
      <c r="ALH11" s="13"/>
      <c r="ALJ11" s="13"/>
      <c r="ALL11" s="13"/>
      <c r="ALN11" s="13"/>
      <c r="ALP11" s="13"/>
      <c r="ALR11" s="13"/>
      <c r="ALT11" s="13"/>
      <c r="ALV11" s="13"/>
      <c r="ALX11" s="13"/>
      <c r="ALZ11" s="13"/>
      <c r="AMB11" s="13"/>
      <c r="AMD11" s="13"/>
      <c r="AMF11" s="13"/>
      <c r="AMH11" s="13"/>
      <c r="AMJ11" s="13"/>
      <c r="AML11" s="13"/>
      <c r="AMN11" s="13"/>
      <c r="AMP11" s="13"/>
      <c r="AMR11" s="13"/>
      <c r="AMT11" s="13"/>
      <c r="AMV11" s="13"/>
      <c r="AMX11" s="13"/>
      <c r="AMZ11" s="13"/>
      <c r="ANB11" s="13"/>
      <c r="AND11" s="13"/>
      <c r="ANF11" s="13"/>
      <c r="ANH11" s="13"/>
      <c r="ANJ11" s="13"/>
      <c r="ANL11" s="13"/>
      <c r="ANN11" s="13"/>
      <c r="ANP11" s="13"/>
      <c r="ANR11" s="13"/>
      <c r="ANT11" s="13"/>
      <c r="ANV11" s="13"/>
      <c r="ANX11" s="13"/>
      <c r="ANZ11" s="13"/>
      <c r="AOB11" s="13"/>
      <c r="AOD11" s="13"/>
      <c r="AOF11" s="13"/>
      <c r="AOH11" s="13"/>
      <c r="AOJ11" s="13"/>
      <c r="AOL11" s="13"/>
      <c r="AON11" s="13"/>
      <c r="AOP11" s="13"/>
      <c r="AOR11" s="13"/>
      <c r="AOT11" s="13"/>
      <c r="AOV11" s="13"/>
      <c r="AOX11" s="13"/>
      <c r="AOZ11" s="13"/>
      <c r="APB11" s="13"/>
      <c r="APD11" s="13"/>
      <c r="APF11" s="13"/>
      <c r="APH11" s="13"/>
      <c r="APJ11" s="13"/>
      <c r="APL11" s="13"/>
      <c r="APN11" s="13"/>
      <c r="APP11" s="13"/>
      <c r="APR11" s="13"/>
      <c r="APT11" s="13"/>
      <c r="APV11" s="13"/>
      <c r="APX11" s="13"/>
      <c r="APZ11" s="13"/>
      <c r="AQB11" s="13"/>
      <c r="AQD11" s="13"/>
      <c r="AQF11" s="13"/>
      <c r="AQH11" s="13"/>
      <c r="AQJ11" s="13"/>
      <c r="AQL11" s="13"/>
      <c r="AQN11" s="13"/>
      <c r="AQP11" s="13"/>
      <c r="AQR11" s="13"/>
      <c r="AQT11" s="13"/>
      <c r="AQV11" s="13"/>
      <c r="AQX11" s="13"/>
      <c r="AQZ11" s="13"/>
      <c r="ARB11" s="13"/>
      <c r="ARD11" s="13"/>
      <c r="ARF11" s="13"/>
      <c r="ARH11" s="13"/>
      <c r="ARJ11" s="13"/>
      <c r="ARL11" s="13"/>
      <c r="ARN11" s="13"/>
      <c r="ARP11" s="13"/>
      <c r="ARR11" s="13"/>
      <c r="ART11" s="13"/>
      <c r="ARV11" s="13"/>
      <c r="ARX11" s="13"/>
      <c r="ARZ11" s="13"/>
      <c r="ASB11" s="13"/>
      <c r="ASD11" s="13"/>
      <c r="ASF11" s="13"/>
      <c r="ASH11" s="13"/>
      <c r="ASJ11" s="13"/>
      <c r="ASL11" s="13"/>
      <c r="ASN11" s="13"/>
      <c r="ASP11" s="13"/>
      <c r="ASR11" s="13"/>
      <c r="AST11" s="13"/>
      <c r="ASV11" s="13"/>
      <c r="ASX11" s="13"/>
      <c r="ASZ11" s="13"/>
      <c r="ATB11" s="13"/>
      <c r="ATD11" s="13"/>
      <c r="ATF11" s="13"/>
      <c r="ATH11" s="13"/>
      <c r="ATJ11" s="13"/>
      <c r="ATL11" s="13"/>
      <c r="ATN11" s="13"/>
      <c r="ATP11" s="13"/>
      <c r="ATR11" s="13"/>
      <c r="ATT11" s="13"/>
      <c r="ATV11" s="13"/>
      <c r="ATX11" s="13"/>
      <c r="ATZ11" s="13"/>
      <c r="AUB11" s="13"/>
      <c r="AUD11" s="13"/>
      <c r="AUF11" s="13"/>
      <c r="AUH11" s="13"/>
      <c r="AUJ11" s="13"/>
      <c r="AUL11" s="13"/>
      <c r="AUN11" s="13"/>
      <c r="AUP11" s="13"/>
      <c r="AUR11" s="13"/>
      <c r="AUT11" s="13"/>
      <c r="AUV11" s="13"/>
      <c r="AUX11" s="13"/>
      <c r="AUZ11" s="13"/>
      <c r="AVB11" s="13"/>
      <c r="AVD11" s="13"/>
      <c r="AVF11" s="13"/>
      <c r="AVH11" s="13"/>
      <c r="AVJ11" s="13"/>
      <c r="AVL11" s="13"/>
      <c r="AVN11" s="13"/>
      <c r="AVP11" s="13"/>
      <c r="AVR11" s="13"/>
      <c r="AVT11" s="13"/>
      <c r="AVV11" s="13"/>
      <c r="AVX11" s="13"/>
      <c r="AVZ11" s="13"/>
      <c r="AWB11" s="13"/>
      <c r="AWD11" s="13"/>
      <c r="AWF11" s="13"/>
      <c r="AWH11" s="13"/>
      <c r="AWJ11" s="13"/>
      <c r="AWL11" s="13"/>
      <c r="AWN11" s="13"/>
      <c r="AWP11" s="13"/>
      <c r="AWR11" s="13"/>
      <c r="AWT11" s="13"/>
      <c r="AWV11" s="13"/>
      <c r="AWX11" s="13"/>
      <c r="AWZ11" s="13"/>
      <c r="AXB11" s="13"/>
      <c r="AXD11" s="13"/>
      <c r="AXF11" s="13"/>
      <c r="AXH11" s="13"/>
      <c r="AXJ11" s="13"/>
      <c r="AXL11" s="13"/>
      <c r="AXN11" s="13"/>
      <c r="AXP11" s="13"/>
      <c r="AXR11" s="13"/>
      <c r="AXT11" s="13"/>
      <c r="AXV11" s="13"/>
      <c r="AXX11" s="13"/>
      <c r="AXZ11" s="13"/>
      <c r="AYB11" s="13"/>
      <c r="AYD11" s="13"/>
      <c r="AYF11" s="13"/>
      <c r="AYH11" s="13"/>
      <c r="AYJ11" s="13"/>
      <c r="AYL11" s="13"/>
      <c r="AYN11" s="13"/>
      <c r="AYP11" s="13"/>
      <c r="AYR11" s="13"/>
      <c r="AYT11" s="13"/>
      <c r="AYV11" s="13"/>
      <c r="AYX11" s="13"/>
      <c r="AYZ11" s="13"/>
      <c r="AZB11" s="13"/>
      <c r="AZD11" s="13"/>
      <c r="AZF11" s="13"/>
      <c r="AZH11" s="13"/>
      <c r="AZJ11" s="13"/>
      <c r="AZL11" s="13"/>
      <c r="AZN11" s="13"/>
      <c r="AZP11" s="13"/>
      <c r="AZR11" s="13"/>
      <c r="AZT11" s="13"/>
      <c r="AZV11" s="13"/>
      <c r="AZX11" s="13"/>
      <c r="AZZ11" s="13"/>
      <c r="BAB11" s="13"/>
      <c r="BAD11" s="13"/>
      <c r="BAF11" s="13"/>
      <c r="BAH11" s="13"/>
      <c r="BAJ11" s="13"/>
      <c r="BAL11" s="13"/>
      <c r="BAN11" s="13"/>
      <c r="BAP11" s="13"/>
      <c r="BAR11" s="13"/>
      <c r="BAT11" s="13"/>
      <c r="BAV11" s="13"/>
      <c r="BAX11" s="13"/>
      <c r="BAZ11" s="13"/>
      <c r="BBB11" s="13"/>
      <c r="BBD11" s="13"/>
      <c r="BBF11" s="13"/>
      <c r="BBH11" s="13"/>
      <c r="BBJ11" s="13"/>
      <c r="BBL11" s="13"/>
      <c r="BBN11" s="13"/>
      <c r="BBP11" s="13"/>
      <c r="BBR11" s="13"/>
      <c r="BBT11" s="13"/>
      <c r="BBV11" s="13"/>
      <c r="BBX11" s="13"/>
      <c r="BBZ11" s="13"/>
      <c r="BCB11" s="13"/>
      <c r="BCD11" s="13"/>
      <c r="BCF11" s="13"/>
      <c r="BCH11" s="13"/>
      <c r="BCJ11" s="13"/>
      <c r="BCL11" s="13"/>
      <c r="BCN11" s="13"/>
      <c r="BCP11" s="13"/>
      <c r="BCR11" s="13"/>
      <c r="BCT11" s="13"/>
      <c r="BCV11" s="13"/>
      <c r="BCX11" s="13"/>
      <c r="BCZ11" s="13"/>
      <c r="BDB11" s="13"/>
      <c r="BDD11" s="13"/>
      <c r="BDF11" s="13"/>
      <c r="BDH11" s="13"/>
      <c r="BDJ11" s="13"/>
      <c r="BDL11" s="13"/>
      <c r="BDN11" s="13"/>
      <c r="BDP11" s="13"/>
      <c r="BDR11" s="13"/>
      <c r="BDT11" s="13"/>
      <c r="BDV11" s="13"/>
      <c r="BDX11" s="13"/>
      <c r="BDZ11" s="13"/>
      <c r="BEB11" s="13"/>
      <c r="BED11" s="13"/>
      <c r="BEF11" s="13"/>
      <c r="BEH11" s="13"/>
      <c r="BEJ11" s="13"/>
      <c r="BEL11" s="13"/>
      <c r="BEN11" s="13"/>
      <c r="BEP11" s="13"/>
      <c r="BER11" s="13"/>
      <c r="BET11" s="13"/>
      <c r="BEV11" s="13"/>
      <c r="BEX11" s="13"/>
      <c r="BEZ11" s="13"/>
      <c r="BFB11" s="13"/>
      <c r="BFD11" s="13"/>
      <c r="BFF11" s="13"/>
      <c r="BFH11" s="13"/>
      <c r="BFJ11" s="13"/>
      <c r="BFL11" s="13"/>
      <c r="BFN11" s="13"/>
      <c r="BFP11" s="13"/>
      <c r="BFR11" s="13"/>
      <c r="BFT11" s="13"/>
      <c r="BFV11" s="13"/>
      <c r="BFX11" s="13"/>
      <c r="BFZ11" s="13"/>
      <c r="BGB11" s="13"/>
      <c r="BGD11" s="13"/>
      <c r="BGF11" s="13"/>
      <c r="BGH11" s="13"/>
      <c r="BGJ11" s="13"/>
      <c r="BGL11" s="13"/>
      <c r="BGN11" s="13"/>
      <c r="BGP11" s="13"/>
      <c r="BGR11" s="13"/>
      <c r="BGT11" s="13"/>
      <c r="BGV11" s="13"/>
      <c r="BGX11" s="13"/>
      <c r="BGZ11" s="13"/>
      <c r="BHB11" s="13"/>
      <c r="BHD11" s="13"/>
      <c r="BHF11" s="13"/>
      <c r="BHH11" s="13"/>
      <c r="BHJ11" s="13"/>
      <c r="BHL11" s="13"/>
      <c r="BHN11" s="13"/>
      <c r="BHP11" s="13"/>
      <c r="BHR11" s="13"/>
      <c r="BHT11" s="13"/>
      <c r="BHV11" s="13"/>
      <c r="BHX11" s="13"/>
      <c r="BHZ11" s="13"/>
      <c r="BIB11" s="13"/>
      <c r="BID11" s="13"/>
      <c r="BIF11" s="13"/>
      <c r="BIH11" s="13"/>
      <c r="BIJ11" s="13"/>
      <c r="BIL11" s="13"/>
      <c r="BIN11" s="13"/>
      <c r="BIP11" s="13"/>
      <c r="BIR11" s="13"/>
      <c r="BIT11" s="13"/>
      <c r="BIV11" s="13"/>
      <c r="BIX11" s="13"/>
      <c r="BIZ11" s="13"/>
      <c r="BJB11" s="13"/>
      <c r="BJD11" s="13"/>
      <c r="BJF11" s="13"/>
      <c r="BJH11" s="13"/>
      <c r="BJJ11" s="13"/>
      <c r="BJL11" s="13"/>
      <c r="BJN11" s="13"/>
      <c r="BJP11" s="13"/>
      <c r="BJR11" s="13"/>
      <c r="BJT11" s="13"/>
      <c r="BJV11" s="13"/>
      <c r="BJX11" s="13"/>
      <c r="BJZ11" s="13"/>
      <c r="BKB11" s="13"/>
      <c r="BKD11" s="13"/>
      <c r="BKF11" s="13"/>
      <c r="BKH11" s="13"/>
      <c r="BKJ11" s="13"/>
      <c r="BKL11" s="13"/>
      <c r="BKN11" s="13"/>
      <c r="BKP11" s="13"/>
      <c r="BKR11" s="13"/>
      <c r="BKT11" s="13"/>
      <c r="BKV11" s="13"/>
      <c r="BKX11" s="13"/>
      <c r="BKZ11" s="13"/>
      <c r="BLB11" s="13"/>
      <c r="BLD11" s="13"/>
      <c r="BLF11" s="13"/>
      <c r="BLH11" s="13"/>
      <c r="BLJ11" s="13"/>
      <c r="BLL11" s="13"/>
      <c r="BLN11" s="13"/>
      <c r="BLP11" s="13"/>
      <c r="BLR11" s="13"/>
      <c r="BLT11" s="13"/>
      <c r="BLV11" s="13"/>
      <c r="BLX11" s="13"/>
      <c r="BLZ11" s="13"/>
      <c r="BMB11" s="13"/>
      <c r="BMD11" s="13"/>
      <c r="BMF11" s="13"/>
      <c r="BMH11" s="13"/>
      <c r="BMJ11" s="13"/>
      <c r="BML11" s="13"/>
      <c r="BMN11" s="13"/>
      <c r="BMP11" s="13"/>
      <c r="BMR11" s="13"/>
      <c r="BMT11" s="13"/>
      <c r="BMV11" s="13"/>
      <c r="BMX11" s="13"/>
      <c r="BMZ11" s="13"/>
      <c r="BNB11" s="13"/>
      <c r="BND11" s="13"/>
      <c r="BNF11" s="13"/>
      <c r="BNH11" s="13"/>
      <c r="BNJ11" s="13"/>
      <c r="BNL11" s="13"/>
      <c r="BNN11" s="13"/>
      <c r="BNP11" s="13"/>
      <c r="BNR11" s="13"/>
      <c r="BNT11" s="13"/>
      <c r="BNV11" s="13"/>
      <c r="BNX11" s="13"/>
      <c r="BNZ11" s="13"/>
      <c r="BOB11" s="13"/>
      <c r="BOD11" s="13"/>
      <c r="BOF11" s="13"/>
      <c r="BOH11" s="13"/>
      <c r="BOJ11" s="13"/>
      <c r="BOL11" s="13"/>
      <c r="BON11" s="13"/>
      <c r="BOP11" s="13"/>
      <c r="BOR11" s="13"/>
      <c r="BOT11" s="13"/>
      <c r="BOV11" s="13"/>
      <c r="BOX11" s="13"/>
      <c r="BOZ11" s="13"/>
      <c r="BPB11" s="13"/>
      <c r="BPD11" s="13"/>
      <c r="BPF11" s="13"/>
      <c r="BPH11" s="13"/>
      <c r="BPJ11" s="13"/>
      <c r="BPL11" s="13"/>
      <c r="BPN11" s="13"/>
      <c r="BPP11" s="13"/>
      <c r="BPR11" s="13"/>
      <c r="BPT11" s="13"/>
      <c r="BPV11" s="13"/>
      <c r="BPX11" s="13"/>
      <c r="BPZ11" s="13"/>
      <c r="BQB11" s="13"/>
      <c r="BQD11" s="13"/>
      <c r="BQF11" s="13"/>
      <c r="BQH11" s="13"/>
      <c r="BQJ11" s="13"/>
      <c r="BQL11" s="13"/>
      <c r="BQN11" s="13"/>
      <c r="BQP11" s="13"/>
      <c r="BQR11" s="13"/>
      <c r="BQT11" s="13"/>
      <c r="BQV11" s="13"/>
      <c r="BQX11" s="13"/>
      <c r="BQZ11" s="13"/>
      <c r="BRB11" s="13"/>
      <c r="BRD11" s="13"/>
      <c r="BRF11" s="13"/>
      <c r="BRH11" s="13"/>
      <c r="BRJ11" s="13"/>
      <c r="BRL11" s="13"/>
      <c r="BRN11" s="13"/>
      <c r="BRP11" s="13"/>
      <c r="BRR11" s="13"/>
      <c r="BRT11" s="13"/>
      <c r="BRV11" s="13"/>
      <c r="BRX11" s="13"/>
      <c r="BRZ11" s="13"/>
      <c r="BSB11" s="13"/>
      <c r="BSD11" s="13"/>
      <c r="BSF11" s="13"/>
      <c r="BSH11" s="13"/>
      <c r="BSJ11" s="13"/>
      <c r="BSL11" s="13"/>
      <c r="BSN11" s="13"/>
      <c r="BSP11" s="13"/>
      <c r="BSR11" s="13"/>
      <c r="BST11" s="13"/>
      <c r="BSV11" s="13"/>
      <c r="BSX11" s="13"/>
      <c r="BSZ11" s="13"/>
      <c r="BTB11" s="13"/>
      <c r="BTD11" s="13"/>
      <c r="BTF11" s="13"/>
      <c r="BTH11" s="13"/>
      <c r="BTJ11" s="13"/>
      <c r="BTL11" s="13"/>
      <c r="BTN11" s="13"/>
      <c r="BTP11" s="13"/>
      <c r="BTR11" s="13"/>
      <c r="BTT11" s="13"/>
      <c r="BTV11" s="13"/>
      <c r="BTX11" s="13"/>
      <c r="BTZ11" s="13"/>
      <c r="BUB11" s="13"/>
      <c r="BUD11" s="13"/>
      <c r="BUF11" s="13"/>
      <c r="BUH11" s="13"/>
      <c r="BUJ11" s="13"/>
      <c r="BUL11" s="13"/>
      <c r="BUN11" s="13"/>
      <c r="BUP11" s="13"/>
      <c r="BUR11" s="13"/>
      <c r="BUT11" s="13"/>
      <c r="BUV11" s="13"/>
      <c r="BUX11" s="13"/>
      <c r="BUZ11" s="13"/>
      <c r="BVB11" s="13"/>
      <c r="BVD11" s="13"/>
      <c r="BVF11" s="13"/>
      <c r="BVH11" s="13"/>
      <c r="BVJ11" s="13"/>
      <c r="BVL11" s="13"/>
      <c r="BVN11" s="13"/>
      <c r="BVP11" s="13"/>
      <c r="BVR11" s="13"/>
      <c r="BVT11" s="13"/>
      <c r="BVV11" s="13"/>
      <c r="BVX11" s="13"/>
      <c r="BVZ11" s="13"/>
      <c r="BWB11" s="13"/>
      <c r="BWD11" s="13"/>
      <c r="BWF11" s="13"/>
      <c r="BWH11" s="13"/>
      <c r="BWJ11" s="13"/>
      <c r="BWL11" s="13"/>
      <c r="BWN11" s="13"/>
      <c r="BWP11" s="13"/>
      <c r="BWR11" s="13"/>
      <c r="BWT11" s="13"/>
      <c r="BWV11" s="13"/>
      <c r="BWX11" s="13"/>
      <c r="BWZ11" s="13"/>
      <c r="BXB11" s="13"/>
      <c r="BXD11" s="13"/>
      <c r="BXF11" s="13"/>
      <c r="BXH11" s="13"/>
      <c r="BXJ11" s="13"/>
      <c r="BXL11" s="13"/>
      <c r="BXN11" s="13"/>
      <c r="BXP11" s="13"/>
      <c r="BXR11" s="13"/>
      <c r="BXT11" s="13"/>
      <c r="BXV11" s="13"/>
      <c r="BXX11" s="13"/>
      <c r="BXZ11" s="13"/>
      <c r="BYB11" s="13"/>
      <c r="BYD11" s="13"/>
      <c r="BYF11" s="13"/>
      <c r="BYH11" s="13"/>
      <c r="BYJ11" s="13"/>
      <c r="BYL11" s="13"/>
      <c r="BYN11" s="13"/>
      <c r="BYP11" s="13"/>
      <c r="BYR11" s="13"/>
      <c r="BYT11" s="13"/>
      <c r="BYV11" s="13"/>
      <c r="BYX11" s="13"/>
      <c r="BYZ11" s="13"/>
      <c r="BZB11" s="13"/>
      <c r="BZD11" s="13"/>
      <c r="BZF11" s="13"/>
      <c r="BZH11" s="13"/>
      <c r="BZJ11" s="13"/>
      <c r="BZL11" s="13"/>
      <c r="BZN11" s="13"/>
      <c r="BZP11" s="13"/>
      <c r="BZR11" s="13"/>
      <c r="BZT11" s="13"/>
      <c r="BZV11" s="13"/>
      <c r="BZX11" s="13"/>
      <c r="BZZ11" s="13"/>
      <c r="CAB11" s="13"/>
      <c r="CAD11" s="13"/>
      <c r="CAF11" s="13"/>
      <c r="CAH11" s="13"/>
      <c r="CAJ11" s="13"/>
      <c r="CAL11" s="13"/>
      <c r="CAN11" s="13"/>
      <c r="CAP11" s="13"/>
      <c r="CAR11" s="13"/>
      <c r="CAT11" s="13"/>
      <c r="CAV11" s="13"/>
      <c r="CAX11" s="13"/>
      <c r="CAZ11" s="13"/>
      <c r="CBB11" s="13"/>
      <c r="CBD11" s="13"/>
      <c r="CBF11" s="13"/>
      <c r="CBH11" s="13"/>
      <c r="CBJ11" s="13"/>
      <c r="CBL11" s="13"/>
      <c r="CBN11" s="13"/>
      <c r="CBP11" s="13"/>
      <c r="CBR11" s="13"/>
      <c r="CBT11" s="13"/>
      <c r="CBV11" s="13"/>
      <c r="CBX11" s="13"/>
      <c r="CBZ11" s="13"/>
      <c r="CCB11" s="13"/>
      <c r="CCD11" s="13"/>
      <c r="CCF11" s="13"/>
      <c r="CCH11" s="13"/>
      <c r="CCJ11" s="13"/>
      <c r="CCL11" s="13"/>
      <c r="CCN11" s="13"/>
      <c r="CCP11" s="13"/>
      <c r="CCR11" s="13"/>
      <c r="CCT11" s="13"/>
      <c r="CCV11" s="13"/>
      <c r="CCX11" s="13"/>
      <c r="CCZ11" s="13"/>
      <c r="CDB11" s="13"/>
      <c r="CDD11" s="13"/>
      <c r="CDF11" s="13"/>
      <c r="CDH11" s="13"/>
      <c r="CDJ11" s="13"/>
      <c r="CDL11" s="13"/>
      <c r="CDN11" s="13"/>
      <c r="CDP11" s="13"/>
      <c r="CDR11" s="13"/>
      <c r="CDT11" s="13"/>
      <c r="CDV11" s="13"/>
      <c r="CDX11" s="13"/>
      <c r="CDZ11" s="13"/>
      <c r="CEB11" s="13"/>
      <c r="CED11" s="13"/>
      <c r="CEF11" s="13"/>
      <c r="CEH11" s="13"/>
      <c r="CEJ11" s="13"/>
      <c r="CEL11" s="13"/>
      <c r="CEN11" s="13"/>
      <c r="CEP11" s="13"/>
      <c r="CER11" s="13"/>
      <c r="CET11" s="13"/>
      <c r="CEV11" s="13"/>
      <c r="CEX11" s="13"/>
      <c r="CEZ11" s="13"/>
      <c r="CFB11" s="13"/>
      <c r="CFD11" s="13"/>
      <c r="CFF11" s="13"/>
      <c r="CFH11" s="13"/>
      <c r="CFJ11" s="13"/>
      <c r="CFL11" s="13"/>
      <c r="CFN11" s="13"/>
      <c r="CFP11" s="13"/>
      <c r="CFR11" s="13"/>
      <c r="CFT11" s="13"/>
      <c r="CFV11" s="13"/>
      <c r="CFX11" s="13"/>
      <c r="CFZ11" s="13"/>
      <c r="CGB11" s="13"/>
      <c r="CGD11" s="13"/>
      <c r="CGF11" s="13"/>
      <c r="CGH11" s="13"/>
      <c r="CGJ11" s="13"/>
      <c r="CGL11" s="13"/>
      <c r="CGN11" s="13"/>
      <c r="CGP11" s="13"/>
      <c r="CGR11" s="13"/>
      <c r="CGT11" s="13"/>
      <c r="CGV11" s="13"/>
      <c r="CGX11" s="13"/>
      <c r="CGZ11" s="13"/>
      <c r="CHB11" s="13"/>
      <c r="CHD11" s="13"/>
      <c r="CHF11" s="13"/>
      <c r="CHH11" s="13"/>
      <c r="CHJ11" s="13"/>
      <c r="CHL11" s="13"/>
      <c r="CHN11" s="13"/>
      <c r="CHP11" s="13"/>
      <c r="CHR11" s="13"/>
      <c r="CHT11" s="13"/>
      <c r="CHV11" s="13"/>
      <c r="CHX11" s="13"/>
      <c r="CHZ11" s="13"/>
      <c r="CIB11" s="13"/>
      <c r="CID11" s="13"/>
      <c r="CIF11" s="13"/>
      <c r="CIH11" s="13"/>
      <c r="CIJ11" s="13"/>
      <c r="CIL11" s="13"/>
      <c r="CIN11" s="13"/>
      <c r="CIP11" s="13"/>
      <c r="CIR11" s="13"/>
      <c r="CIT11" s="13"/>
      <c r="CIV11" s="13"/>
      <c r="CIX11" s="13"/>
      <c r="CIZ11" s="13"/>
      <c r="CJB11" s="13"/>
      <c r="CJD11" s="13"/>
      <c r="CJF11" s="13"/>
      <c r="CJH11" s="13"/>
      <c r="CJJ11" s="13"/>
      <c r="CJL11" s="13"/>
      <c r="CJN11" s="13"/>
      <c r="CJP11" s="13"/>
      <c r="CJR11" s="13"/>
      <c r="CJT11" s="13"/>
      <c r="CJV11" s="13"/>
      <c r="CJX11" s="13"/>
      <c r="CJZ11" s="13"/>
      <c r="CKB11" s="13"/>
      <c r="CKD11" s="13"/>
      <c r="CKF11" s="13"/>
      <c r="CKH11" s="13"/>
      <c r="CKJ11" s="13"/>
      <c r="CKL11" s="13"/>
      <c r="CKN11" s="13"/>
      <c r="CKP11" s="13"/>
      <c r="CKR11" s="13"/>
      <c r="CKT11" s="13"/>
      <c r="CKV11" s="13"/>
      <c r="CKX11" s="13"/>
      <c r="CKZ11" s="13"/>
      <c r="CLB11" s="13"/>
      <c r="CLD11" s="13"/>
      <c r="CLF11" s="13"/>
      <c r="CLH11" s="13"/>
      <c r="CLJ11" s="13"/>
      <c r="CLL11" s="13"/>
      <c r="CLN11" s="13"/>
      <c r="CLP11" s="13"/>
      <c r="CLR11" s="13"/>
      <c r="CLT11" s="13"/>
      <c r="CLV11" s="13"/>
      <c r="CLX11" s="13"/>
      <c r="CLZ11" s="13"/>
      <c r="CMB11" s="13"/>
      <c r="CMD11" s="13"/>
      <c r="CMF11" s="13"/>
      <c r="CMH11" s="13"/>
      <c r="CMJ11" s="13"/>
      <c r="CML11" s="13"/>
      <c r="CMN11" s="13"/>
      <c r="CMP11" s="13"/>
      <c r="CMR11" s="13"/>
      <c r="CMT11" s="13"/>
      <c r="CMV11" s="13"/>
      <c r="CMX11" s="13"/>
      <c r="CMZ11" s="13"/>
      <c r="CNB11" s="13"/>
      <c r="CND11" s="13"/>
      <c r="CNF11" s="13"/>
      <c r="CNH11" s="13"/>
      <c r="CNJ11" s="13"/>
      <c r="CNL11" s="13"/>
      <c r="CNN11" s="13"/>
      <c r="CNP11" s="13"/>
      <c r="CNR11" s="13"/>
      <c r="CNT11" s="13"/>
      <c r="CNV11" s="13"/>
      <c r="CNX11" s="13"/>
      <c r="CNZ11" s="13"/>
      <c r="COB11" s="13"/>
      <c r="COD11" s="13"/>
      <c r="COF11" s="13"/>
      <c r="COH11" s="13"/>
      <c r="COJ11" s="13"/>
      <c r="COL11" s="13"/>
      <c r="CON11" s="13"/>
      <c r="COP11" s="13"/>
      <c r="COR11" s="13"/>
      <c r="COT11" s="13"/>
      <c r="COV11" s="13"/>
      <c r="COX11" s="13"/>
      <c r="COZ11" s="13"/>
      <c r="CPB11" s="13"/>
      <c r="CPD11" s="13"/>
      <c r="CPF11" s="13"/>
      <c r="CPH11" s="13"/>
      <c r="CPJ11" s="13"/>
      <c r="CPL11" s="13"/>
      <c r="CPN11" s="13"/>
      <c r="CPP11" s="13"/>
      <c r="CPR11" s="13"/>
      <c r="CPT11" s="13"/>
      <c r="CPV11" s="13"/>
      <c r="CPX11" s="13"/>
      <c r="CPZ11" s="13"/>
      <c r="CQB11" s="13"/>
      <c r="CQD11" s="13"/>
      <c r="CQF11" s="13"/>
      <c r="CQH11" s="13"/>
      <c r="CQJ11" s="13"/>
      <c r="CQL11" s="13"/>
      <c r="CQN11" s="13"/>
      <c r="CQP11" s="13"/>
      <c r="CQR11" s="13"/>
      <c r="CQT11" s="13"/>
      <c r="CQV11" s="13"/>
      <c r="CQX11" s="13"/>
      <c r="CQZ11" s="13"/>
      <c r="CRB11" s="13"/>
      <c r="CRD11" s="13"/>
      <c r="CRF11" s="13"/>
      <c r="CRH11" s="13"/>
      <c r="CRJ11" s="13"/>
      <c r="CRL11" s="13"/>
      <c r="CRN11" s="13"/>
      <c r="CRP11" s="13"/>
      <c r="CRR11" s="13"/>
      <c r="CRT11" s="13"/>
      <c r="CRV11" s="13"/>
      <c r="CRX11" s="13"/>
      <c r="CRZ11" s="13"/>
      <c r="CSB11" s="13"/>
      <c r="CSD11" s="13"/>
      <c r="CSF11" s="13"/>
      <c r="CSH11" s="13"/>
      <c r="CSJ11" s="13"/>
      <c r="CSL11" s="13"/>
      <c r="CSN11" s="13"/>
      <c r="CSP11" s="13"/>
      <c r="CSR11" s="13"/>
      <c r="CST11" s="13"/>
      <c r="CSV11" s="13"/>
      <c r="CSX11" s="13"/>
      <c r="CSZ11" s="13"/>
      <c r="CTB11" s="13"/>
      <c r="CTD11" s="13"/>
      <c r="CTF11" s="13"/>
      <c r="CTH11" s="13"/>
      <c r="CTJ11" s="13"/>
      <c r="CTL11" s="13"/>
      <c r="CTN11" s="13"/>
      <c r="CTP11" s="13"/>
      <c r="CTR11" s="13"/>
      <c r="CTT11" s="13"/>
      <c r="CTV11" s="13"/>
      <c r="CTX11" s="13"/>
      <c r="CTZ11" s="13"/>
      <c r="CUB11" s="13"/>
      <c r="CUD11" s="13"/>
      <c r="CUF11" s="13"/>
      <c r="CUH11" s="13"/>
      <c r="CUJ11" s="13"/>
      <c r="CUL11" s="13"/>
      <c r="CUN11" s="13"/>
      <c r="CUP11" s="13"/>
      <c r="CUR11" s="13"/>
      <c r="CUT11" s="13"/>
      <c r="CUV11" s="13"/>
      <c r="CUX11" s="13"/>
      <c r="CUZ11" s="13"/>
      <c r="CVB11" s="13"/>
      <c r="CVD11" s="13"/>
      <c r="CVF11" s="13"/>
      <c r="CVH11" s="13"/>
      <c r="CVJ11" s="13"/>
      <c r="CVL11" s="13"/>
      <c r="CVN11" s="13"/>
      <c r="CVP11" s="13"/>
      <c r="CVR11" s="13"/>
      <c r="CVT11" s="13"/>
      <c r="CVV11" s="13"/>
      <c r="CVX11" s="13"/>
      <c r="CVZ11" s="13"/>
      <c r="CWB11" s="13"/>
      <c r="CWD11" s="13"/>
      <c r="CWF11" s="13"/>
      <c r="CWH11" s="13"/>
      <c r="CWJ11" s="13"/>
      <c r="CWL11" s="13"/>
      <c r="CWN11" s="13"/>
      <c r="CWP11" s="13"/>
      <c r="CWR11" s="13"/>
      <c r="CWT11" s="13"/>
      <c r="CWV11" s="13"/>
      <c r="CWX11" s="13"/>
      <c r="CWZ11" s="13"/>
      <c r="CXB11" s="13"/>
      <c r="CXD11" s="13"/>
      <c r="CXF11" s="13"/>
      <c r="CXH11" s="13"/>
      <c r="CXJ11" s="13"/>
      <c r="CXL11" s="13"/>
      <c r="CXN11" s="13"/>
      <c r="CXP11" s="13"/>
      <c r="CXR11" s="13"/>
      <c r="CXT11" s="13"/>
      <c r="CXV11" s="13"/>
      <c r="CXX11" s="13"/>
      <c r="CXZ11" s="13"/>
      <c r="CYB11" s="13"/>
      <c r="CYD11" s="13"/>
      <c r="CYF11" s="13"/>
      <c r="CYH11" s="13"/>
      <c r="CYJ11" s="13"/>
      <c r="CYL11" s="13"/>
      <c r="CYN11" s="13"/>
      <c r="CYP11" s="13"/>
      <c r="CYR11" s="13"/>
      <c r="CYT11" s="13"/>
      <c r="CYV11" s="13"/>
      <c r="CYX11" s="13"/>
      <c r="CYZ11" s="13"/>
      <c r="CZB11" s="13"/>
      <c r="CZD11" s="13"/>
      <c r="CZF11" s="13"/>
      <c r="CZH11" s="13"/>
      <c r="CZJ11" s="13"/>
      <c r="CZL11" s="13"/>
      <c r="CZN11" s="13"/>
      <c r="CZP11" s="13"/>
      <c r="CZR11" s="13"/>
      <c r="CZT11" s="13"/>
      <c r="CZV11" s="13"/>
      <c r="CZX11" s="13"/>
      <c r="CZZ11" s="13"/>
      <c r="DAB11" s="13"/>
      <c r="DAD11" s="13"/>
      <c r="DAF11" s="13"/>
      <c r="DAH11" s="13"/>
      <c r="DAJ11" s="13"/>
      <c r="DAL11" s="13"/>
      <c r="DAN11" s="13"/>
      <c r="DAP11" s="13"/>
      <c r="DAR11" s="13"/>
      <c r="DAT11" s="13"/>
      <c r="DAV11" s="13"/>
      <c r="DAX11" s="13"/>
      <c r="DAZ11" s="13"/>
      <c r="DBB11" s="13"/>
      <c r="DBD11" s="13"/>
      <c r="DBF11" s="13"/>
      <c r="DBH11" s="13"/>
      <c r="DBJ11" s="13"/>
      <c r="DBL11" s="13"/>
      <c r="DBN11" s="13"/>
      <c r="DBP11" s="13"/>
      <c r="DBR11" s="13"/>
      <c r="DBT11" s="13"/>
      <c r="DBV11" s="13"/>
      <c r="DBX11" s="13"/>
      <c r="DBZ11" s="13"/>
      <c r="DCB11" s="13"/>
      <c r="DCD11" s="13"/>
      <c r="DCF11" s="13"/>
      <c r="DCH11" s="13"/>
      <c r="DCJ11" s="13"/>
      <c r="DCL11" s="13"/>
      <c r="DCN11" s="13"/>
      <c r="DCP11" s="13"/>
      <c r="DCR11" s="13"/>
      <c r="DCT11" s="13"/>
      <c r="DCV11" s="13"/>
      <c r="DCX11" s="13"/>
      <c r="DCZ11" s="13"/>
      <c r="DDB11" s="13"/>
      <c r="DDD11" s="13"/>
      <c r="DDF11" s="13"/>
      <c r="DDH11" s="13"/>
      <c r="DDJ11" s="13"/>
      <c r="DDL11" s="13"/>
      <c r="DDN11" s="13"/>
      <c r="DDP11" s="13"/>
      <c r="DDR11" s="13"/>
      <c r="DDT11" s="13"/>
      <c r="DDV11" s="13"/>
      <c r="DDX11" s="13"/>
      <c r="DDZ11" s="13"/>
      <c r="DEB11" s="13"/>
      <c r="DED11" s="13"/>
      <c r="DEF11" s="13"/>
      <c r="DEH11" s="13"/>
      <c r="DEJ11" s="13"/>
      <c r="DEL11" s="13"/>
      <c r="DEN11" s="13"/>
      <c r="DEP11" s="13"/>
      <c r="DER11" s="13"/>
      <c r="DET11" s="13"/>
      <c r="DEV11" s="13"/>
      <c r="DEX11" s="13"/>
      <c r="DEZ11" s="13"/>
      <c r="DFB11" s="13"/>
      <c r="DFD11" s="13"/>
      <c r="DFF11" s="13"/>
      <c r="DFH11" s="13"/>
      <c r="DFJ11" s="13"/>
      <c r="DFL11" s="13"/>
      <c r="DFN11" s="13"/>
      <c r="DFP11" s="13"/>
      <c r="DFR11" s="13"/>
      <c r="DFT11" s="13"/>
      <c r="DFV11" s="13"/>
      <c r="DFX11" s="13"/>
      <c r="DFZ11" s="13"/>
      <c r="DGB11" s="13"/>
      <c r="DGD11" s="13"/>
      <c r="DGF11" s="13"/>
      <c r="DGH11" s="13"/>
      <c r="DGJ11" s="13"/>
      <c r="DGL11" s="13"/>
      <c r="DGN11" s="13"/>
      <c r="DGP11" s="13"/>
      <c r="DGR11" s="13"/>
      <c r="DGT11" s="13"/>
      <c r="DGV11" s="13"/>
      <c r="DGX11" s="13"/>
      <c r="DGZ11" s="13"/>
      <c r="DHB11" s="13"/>
      <c r="DHD11" s="13"/>
      <c r="DHF11" s="13"/>
      <c r="DHH11" s="13"/>
      <c r="DHJ11" s="13"/>
      <c r="DHL11" s="13"/>
      <c r="DHN11" s="13"/>
      <c r="DHP11" s="13"/>
      <c r="DHR11" s="13"/>
      <c r="DHT11" s="13"/>
      <c r="DHV11" s="13"/>
      <c r="DHX11" s="13"/>
      <c r="DHZ11" s="13"/>
      <c r="DIB11" s="13"/>
      <c r="DID11" s="13"/>
      <c r="DIF11" s="13"/>
      <c r="DIH11" s="13"/>
      <c r="DIJ11" s="13"/>
      <c r="DIL11" s="13"/>
      <c r="DIN11" s="13"/>
      <c r="DIP11" s="13"/>
      <c r="DIR11" s="13"/>
      <c r="DIT11" s="13"/>
      <c r="DIV11" s="13"/>
      <c r="DIX11" s="13"/>
      <c r="DIZ11" s="13"/>
      <c r="DJB11" s="13"/>
      <c r="DJD11" s="13"/>
      <c r="DJF11" s="13"/>
      <c r="DJH11" s="13"/>
      <c r="DJJ11" s="13"/>
      <c r="DJL11" s="13"/>
      <c r="DJN11" s="13"/>
      <c r="DJP11" s="13"/>
      <c r="DJR11" s="13"/>
      <c r="DJT11" s="13"/>
      <c r="DJV11" s="13"/>
      <c r="DJX11" s="13"/>
      <c r="DJZ11" s="13"/>
      <c r="DKB11" s="13"/>
      <c r="DKD11" s="13"/>
      <c r="DKF11" s="13"/>
      <c r="DKH11" s="13"/>
      <c r="DKJ11" s="13"/>
      <c r="DKL11" s="13"/>
      <c r="DKN11" s="13"/>
      <c r="DKP11" s="13"/>
      <c r="DKR11" s="13"/>
      <c r="DKT11" s="13"/>
      <c r="DKV11" s="13"/>
      <c r="DKX11" s="13"/>
      <c r="DKZ11" s="13"/>
      <c r="DLB11" s="13"/>
      <c r="DLD11" s="13"/>
      <c r="DLF11" s="13"/>
      <c r="DLH11" s="13"/>
      <c r="DLJ11" s="13"/>
      <c r="DLL11" s="13"/>
      <c r="DLN11" s="13"/>
      <c r="DLP11" s="13"/>
      <c r="DLR11" s="13"/>
      <c r="DLT11" s="13"/>
      <c r="DLV11" s="13"/>
      <c r="DLX11" s="13"/>
      <c r="DLZ11" s="13"/>
      <c r="DMB11" s="13"/>
      <c r="DMD11" s="13"/>
      <c r="DMF11" s="13"/>
      <c r="DMH11" s="13"/>
      <c r="DMJ11" s="13"/>
      <c r="DML11" s="13"/>
      <c r="DMN11" s="13"/>
      <c r="DMP11" s="13"/>
      <c r="DMR11" s="13"/>
      <c r="DMT11" s="13"/>
      <c r="DMV11" s="13"/>
      <c r="DMX11" s="13"/>
      <c r="DMZ11" s="13"/>
      <c r="DNB11" s="13"/>
      <c r="DND11" s="13"/>
      <c r="DNF11" s="13"/>
      <c r="DNH11" s="13"/>
      <c r="DNJ11" s="13"/>
      <c r="DNL11" s="13"/>
      <c r="DNN11" s="13"/>
      <c r="DNP11" s="13"/>
      <c r="DNR11" s="13"/>
      <c r="DNT11" s="13"/>
      <c r="DNV11" s="13"/>
      <c r="DNX11" s="13"/>
      <c r="DNZ11" s="13"/>
      <c r="DOB11" s="13"/>
      <c r="DOD11" s="13"/>
      <c r="DOF11" s="13"/>
      <c r="DOH11" s="13"/>
      <c r="DOJ11" s="13"/>
      <c r="DOL11" s="13"/>
      <c r="DON11" s="13"/>
      <c r="DOP11" s="13"/>
      <c r="DOR11" s="13"/>
      <c r="DOT11" s="13"/>
      <c r="DOV11" s="13"/>
      <c r="DOX11" s="13"/>
      <c r="DOZ11" s="13"/>
      <c r="DPB11" s="13"/>
      <c r="DPD11" s="13"/>
      <c r="DPF11" s="13"/>
      <c r="DPH11" s="13"/>
      <c r="DPJ11" s="13"/>
      <c r="DPL11" s="13"/>
      <c r="DPN11" s="13"/>
      <c r="DPP11" s="13"/>
      <c r="DPR11" s="13"/>
      <c r="DPT11" s="13"/>
      <c r="DPV11" s="13"/>
      <c r="DPX11" s="13"/>
      <c r="DPZ11" s="13"/>
      <c r="DQB11" s="13"/>
      <c r="DQD11" s="13"/>
      <c r="DQF11" s="13"/>
      <c r="DQH11" s="13"/>
      <c r="DQJ11" s="13"/>
      <c r="DQL11" s="13"/>
      <c r="DQN11" s="13"/>
      <c r="DQP11" s="13"/>
      <c r="DQR11" s="13"/>
      <c r="DQT11" s="13"/>
      <c r="DQV11" s="13"/>
      <c r="DQX11" s="13"/>
      <c r="DQZ11" s="13"/>
      <c r="DRB11" s="13"/>
      <c r="DRD11" s="13"/>
      <c r="DRF11" s="13"/>
      <c r="DRH11" s="13"/>
      <c r="DRJ11" s="13"/>
      <c r="DRL11" s="13"/>
      <c r="DRN11" s="13"/>
      <c r="DRP11" s="13"/>
      <c r="DRR11" s="13"/>
      <c r="DRT11" s="13"/>
      <c r="DRV11" s="13"/>
      <c r="DRX11" s="13"/>
      <c r="DRZ11" s="13"/>
      <c r="DSB11" s="13"/>
      <c r="DSD11" s="13"/>
      <c r="DSF11" s="13"/>
      <c r="DSH11" s="13"/>
      <c r="DSJ11" s="13"/>
      <c r="DSL11" s="13"/>
      <c r="DSN11" s="13"/>
      <c r="DSP11" s="13"/>
      <c r="DSR11" s="13"/>
      <c r="DST11" s="13"/>
      <c r="DSV11" s="13"/>
      <c r="DSX11" s="13"/>
      <c r="DSZ11" s="13"/>
      <c r="DTB11" s="13"/>
      <c r="DTD11" s="13"/>
      <c r="DTF11" s="13"/>
      <c r="DTH11" s="13"/>
      <c r="DTJ11" s="13"/>
      <c r="DTL11" s="13"/>
      <c r="DTN11" s="13"/>
      <c r="DTP11" s="13"/>
      <c r="DTR11" s="13"/>
      <c r="DTT11" s="13"/>
      <c r="DTV11" s="13"/>
      <c r="DTX11" s="13"/>
      <c r="DTZ11" s="13"/>
      <c r="DUB11" s="13"/>
      <c r="DUD11" s="13"/>
      <c r="DUF11" s="13"/>
      <c r="DUH11" s="13"/>
      <c r="DUJ11" s="13"/>
      <c r="DUL11" s="13"/>
      <c r="DUN11" s="13"/>
      <c r="DUP11" s="13"/>
      <c r="DUR11" s="13"/>
      <c r="DUT11" s="13"/>
      <c r="DUV11" s="13"/>
      <c r="DUX11" s="13"/>
      <c r="DUZ11" s="13"/>
      <c r="DVB11" s="13"/>
      <c r="DVD11" s="13"/>
      <c r="DVF11" s="13"/>
      <c r="DVH11" s="13"/>
      <c r="DVJ11" s="13"/>
      <c r="DVL11" s="13"/>
      <c r="DVN11" s="13"/>
      <c r="DVP11" s="13"/>
      <c r="DVR11" s="13"/>
      <c r="DVT11" s="13"/>
      <c r="DVV11" s="13"/>
      <c r="DVX11" s="13"/>
      <c r="DVZ11" s="13"/>
      <c r="DWB11" s="13"/>
      <c r="DWD11" s="13"/>
      <c r="DWF11" s="13"/>
      <c r="DWH11" s="13"/>
      <c r="DWJ11" s="13"/>
      <c r="DWL11" s="13"/>
      <c r="DWN11" s="13"/>
      <c r="DWP11" s="13"/>
      <c r="DWR11" s="13"/>
      <c r="DWT11" s="13"/>
      <c r="DWV11" s="13"/>
      <c r="DWX11" s="13"/>
      <c r="DWZ11" s="13"/>
      <c r="DXB11" s="13"/>
      <c r="DXD11" s="13"/>
      <c r="DXF11" s="13"/>
      <c r="DXH11" s="13"/>
      <c r="DXJ11" s="13"/>
      <c r="DXL11" s="13"/>
      <c r="DXN11" s="13"/>
      <c r="DXP11" s="13"/>
      <c r="DXR11" s="13"/>
      <c r="DXT11" s="13"/>
      <c r="DXV11" s="13"/>
      <c r="DXX11" s="13"/>
      <c r="DXZ11" s="13"/>
      <c r="DYB11" s="13"/>
      <c r="DYD11" s="13"/>
      <c r="DYF11" s="13"/>
      <c r="DYH11" s="13"/>
      <c r="DYJ11" s="13"/>
      <c r="DYL11" s="13"/>
      <c r="DYN11" s="13"/>
      <c r="DYP11" s="13"/>
      <c r="DYR11" s="13"/>
      <c r="DYT11" s="13"/>
      <c r="DYV11" s="13"/>
      <c r="DYX11" s="13"/>
      <c r="DYZ11" s="13"/>
      <c r="DZB11" s="13"/>
      <c r="DZD11" s="13"/>
      <c r="DZF11" s="13"/>
      <c r="DZH11" s="13"/>
      <c r="DZJ11" s="13"/>
      <c r="DZL11" s="13"/>
      <c r="DZN11" s="13"/>
      <c r="DZP11" s="13"/>
      <c r="DZR11" s="13"/>
      <c r="DZT11" s="13"/>
      <c r="DZV11" s="13"/>
      <c r="DZX11" s="13"/>
      <c r="DZZ11" s="13"/>
      <c r="EAB11" s="13"/>
      <c r="EAD11" s="13"/>
      <c r="EAF11" s="13"/>
      <c r="EAH11" s="13"/>
      <c r="EAJ11" s="13"/>
      <c r="EAL11" s="13"/>
      <c r="EAN11" s="13"/>
      <c r="EAP11" s="13"/>
      <c r="EAR11" s="13"/>
      <c r="EAT11" s="13"/>
      <c r="EAV11" s="13"/>
      <c r="EAX11" s="13"/>
      <c r="EAZ11" s="13"/>
      <c r="EBB11" s="13"/>
      <c r="EBD11" s="13"/>
      <c r="EBF11" s="13"/>
      <c r="EBH11" s="13"/>
      <c r="EBJ11" s="13"/>
      <c r="EBL11" s="13"/>
      <c r="EBN11" s="13"/>
      <c r="EBP11" s="13"/>
      <c r="EBR11" s="13"/>
      <c r="EBT11" s="13"/>
      <c r="EBV11" s="13"/>
      <c r="EBX11" s="13"/>
      <c r="EBZ11" s="13"/>
      <c r="ECB11" s="13"/>
      <c r="ECD11" s="13"/>
      <c r="ECF11" s="13"/>
      <c r="ECH11" s="13"/>
      <c r="ECJ11" s="13"/>
      <c r="ECL11" s="13"/>
      <c r="ECN11" s="13"/>
      <c r="ECP11" s="13"/>
      <c r="ECR11" s="13"/>
      <c r="ECT11" s="13"/>
      <c r="ECV11" s="13"/>
      <c r="ECX11" s="13"/>
      <c r="ECZ11" s="13"/>
      <c r="EDB11" s="13"/>
      <c r="EDD11" s="13"/>
      <c r="EDF11" s="13"/>
      <c r="EDH11" s="13"/>
      <c r="EDJ11" s="13"/>
      <c r="EDL11" s="13"/>
      <c r="EDN11" s="13"/>
      <c r="EDP11" s="13"/>
      <c r="EDR11" s="13"/>
      <c r="EDT11" s="13"/>
      <c r="EDV11" s="13"/>
      <c r="EDX11" s="13"/>
      <c r="EDZ11" s="13"/>
      <c r="EEB11" s="13"/>
      <c r="EED11" s="13"/>
      <c r="EEF11" s="13"/>
      <c r="EEH11" s="13"/>
      <c r="EEJ11" s="13"/>
      <c r="EEL11" s="13"/>
      <c r="EEN11" s="13"/>
      <c r="EEP11" s="13"/>
      <c r="EER11" s="13"/>
      <c r="EET11" s="13"/>
      <c r="EEV11" s="13"/>
      <c r="EEX11" s="13"/>
      <c r="EEZ11" s="13"/>
      <c r="EFB11" s="13"/>
      <c r="EFD11" s="13"/>
      <c r="EFF11" s="13"/>
      <c r="EFH11" s="13"/>
      <c r="EFJ11" s="13"/>
      <c r="EFL11" s="13"/>
      <c r="EFN11" s="13"/>
      <c r="EFP11" s="13"/>
      <c r="EFR11" s="13"/>
      <c r="EFT11" s="13"/>
      <c r="EFV11" s="13"/>
      <c r="EFX11" s="13"/>
      <c r="EFZ11" s="13"/>
      <c r="EGB11" s="13"/>
      <c r="EGD11" s="13"/>
      <c r="EGF11" s="13"/>
      <c r="EGH11" s="13"/>
      <c r="EGJ11" s="13"/>
      <c r="EGL11" s="13"/>
      <c r="EGN11" s="13"/>
      <c r="EGP11" s="13"/>
      <c r="EGR11" s="13"/>
      <c r="EGT11" s="13"/>
      <c r="EGV11" s="13"/>
      <c r="EGX11" s="13"/>
      <c r="EGZ11" s="13"/>
      <c r="EHB11" s="13"/>
      <c r="EHD11" s="13"/>
      <c r="EHF11" s="13"/>
      <c r="EHH11" s="13"/>
      <c r="EHJ11" s="13"/>
      <c r="EHL11" s="13"/>
      <c r="EHN11" s="13"/>
      <c r="EHP11" s="13"/>
      <c r="EHR11" s="13"/>
      <c r="EHT11" s="13"/>
      <c r="EHV11" s="13"/>
      <c r="EHX11" s="13"/>
      <c r="EHZ11" s="13"/>
      <c r="EIB11" s="13"/>
      <c r="EID11" s="13"/>
      <c r="EIF11" s="13"/>
      <c r="EIH11" s="13"/>
      <c r="EIJ11" s="13"/>
      <c r="EIL11" s="13"/>
      <c r="EIN11" s="13"/>
      <c r="EIP11" s="13"/>
      <c r="EIR11" s="13"/>
      <c r="EIT11" s="13"/>
      <c r="EIV11" s="13"/>
      <c r="EIX11" s="13"/>
      <c r="EIZ11" s="13"/>
      <c r="EJB11" s="13"/>
      <c r="EJD11" s="13"/>
      <c r="EJF11" s="13"/>
      <c r="EJH11" s="13"/>
      <c r="EJJ11" s="13"/>
      <c r="EJL11" s="13"/>
      <c r="EJN11" s="13"/>
      <c r="EJP11" s="13"/>
      <c r="EJR11" s="13"/>
      <c r="EJT11" s="13"/>
      <c r="EJV11" s="13"/>
      <c r="EJX11" s="13"/>
      <c r="EJZ11" s="13"/>
      <c r="EKB11" s="13"/>
      <c r="EKD11" s="13"/>
      <c r="EKF11" s="13"/>
      <c r="EKH11" s="13"/>
      <c r="EKJ11" s="13"/>
      <c r="EKL11" s="13"/>
      <c r="EKN11" s="13"/>
      <c r="EKP11" s="13"/>
      <c r="EKR11" s="13"/>
      <c r="EKT11" s="13"/>
      <c r="EKV11" s="13"/>
      <c r="EKX11" s="13"/>
      <c r="EKZ11" s="13"/>
      <c r="ELB11" s="13"/>
      <c r="ELD11" s="13"/>
      <c r="ELF11" s="13"/>
      <c r="ELH11" s="13"/>
      <c r="ELJ11" s="13"/>
      <c r="ELL11" s="13"/>
      <c r="ELN11" s="13"/>
      <c r="ELP11" s="13"/>
      <c r="ELR11" s="13"/>
      <c r="ELT11" s="13"/>
      <c r="ELV11" s="13"/>
      <c r="ELX11" s="13"/>
      <c r="ELZ11" s="13"/>
      <c r="EMB11" s="13"/>
      <c r="EMD11" s="13"/>
      <c r="EMF11" s="13"/>
      <c r="EMH11" s="13"/>
      <c r="EMJ11" s="13"/>
      <c r="EML11" s="13"/>
      <c r="EMN11" s="13"/>
      <c r="EMP11" s="13"/>
      <c r="EMR11" s="13"/>
      <c r="EMT11" s="13"/>
      <c r="EMV11" s="13"/>
      <c r="EMX11" s="13"/>
      <c r="EMZ11" s="13"/>
      <c r="ENB11" s="13"/>
      <c r="END11" s="13"/>
      <c r="ENF11" s="13"/>
      <c r="ENH11" s="13"/>
      <c r="ENJ11" s="13"/>
      <c r="ENL11" s="13"/>
      <c r="ENN11" s="13"/>
      <c r="ENP11" s="13"/>
      <c r="ENR11" s="13"/>
      <c r="ENT11" s="13"/>
      <c r="ENV11" s="13"/>
      <c r="ENX11" s="13"/>
      <c r="ENZ11" s="13"/>
      <c r="EOB11" s="13"/>
      <c r="EOD11" s="13"/>
      <c r="EOF11" s="13"/>
      <c r="EOH11" s="13"/>
      <c r="EOJ11" s="13"/>
      <c r="EOL11" s="13"/>
      <c r="EON11" s="13"/>
      <c r="EOP11" s="13"/>
      <c r="EOR11" s="13"/>
      <c r="EOT11" s="13"/>
      <c r="EOV11" s="13"/>
      <c r="EOX11" s="13"/>
      <c r="EOZ11" s="13"/>
      <c r="EPB11" s="13"/>
      <c r="EPD11" s="13"/>
      <c r="EPF11" s="13"/>
      <c r="EPH11" s="13"/>
      <c r="EPJ11" s="13"/>
      <c r="EPL11" s="13"/>
      <c r="EPN11" s="13"/>
      <c r="EPP11" s="13"/>
      <c r="EPR11" s="13"/>
      <c r="EPT11" s="13"/>
      <c r="EPV11" s="13"/>
      <c r="EPX11" s="13"/>
      <c r="EPZ11" s="13"/>
      <c r="EQB11" s="13"/>
      <c r="EQD11" s="13"/>
      <c r="EQF11" s="13"/>
      <c r="EQH11" s="13"/>
      <c r="EQJ11" s="13"/>
      <c r="EQL11" s="13"/>
      <c r="EQN11" s="13"/>
      <c r="EQP11" s="13"/>
      <c r="EQR11" s="13"/>
      <c r="EQT11" s="13"/>
      <c r="EQV11" s="13"/>
      <c r="EQX11" s="13"/>
      <c r="EQZ11" s="13"/>
      <c r="ERB11" s="13"/>
      <c r="ERD11" s="13"/>
      <c r="ERF11" s="13"/>
      <c r="ERH11" s="13"/>
      <c r="ERJ11" s="13"/>
      <c r="ERL11" s="13"/>
      <c r="ERN11" s="13"/>
      <c r="ERP11" s="13"/>
      <c r="ERR11" s="13"/>
      <c r="ERT11" s="13"/>
      <c r="ERV11" s="13"/>
      <c r="ERX11" s="13"/>
      <c r="ERZ11" s="13"/>
      <c r="ESB11" s="13"/>
      <c r="ESD11" s="13"/>
      <c r="ESF11" s="13"/>
      <c r="ESH11" s="13"/>
      <c r="ESJ11" s="13"/>
      <c r="ESL11" s="13"/>
      <c r="ESN11" s="13"/>
      <c r="ESP11" s="13"/>
      <c r="ESR11" s="13"/>
      <c r="EST11" s="13"/>
      <c r="ESV11" s="13"/>
      <c r="ESX11" s="13"/>
      <c r="ESZ11" s="13"/>
      <c r="ETB11" s="13"/>
      <c r="ETD11" s="13"/>
      <c r="ETF11" s="13"/>
      <c r="ETH11" s="13"/>
      <c r="ETJ11" s="13"/>
      <c r="ETL11" s="13"/>
      <c r="ETN11" s="13"/>
      <c r="ETP11" s="13"/>
      <c r="ETR11" s="13"/>
      <c r="ETT11" s="13"/>
      <c r="ETV11" s="13"/>
      <c r="ETX11" s="13"/>
      <c r="ETZ11" s="13"/>
      <c r="EUB11" s="13"/>
      <c r="EUD11" s="13"/>
      <c r="EUF11" s="13"/>
      <c r="EUH11" s="13"/>
      <c r="EUJ11" s="13"/>
      <c r="EUL11" s="13"/>
      <c r="EUN11" s="13"/>
      <c r="EUP11" s="13"/>
      <c r="EUR11" s="13"/>
      <c r="EUT11" s="13"/>
      <c r="EUV11" s="13"/>
      <c r="EUX11" s="13"/>
      <c r="EUZ11" s="13"/>
      <c r="EVB11" s="13"/>
      <c r="EVD11" s="13"/>
      <c r="EVF11" s="13"/>
      <c r="EVH11" s="13"/>
      <c r="EVJ11" s="13"/>
      <c r="EVL11" s="13"/>
      <c r="EVN11" s="13"/>
      <c r="EVP11" s="13"/>
      <c r="EVR11" s="13"/>
      <c r="EVT11" s="13"/>
      <c r="EVV11" s="13"/>
      <c r="EVX11" s="13"/>
      <c r="EVZ11" s="13"/>
      <c r="EWB11" s="13"/>
      <c r="EWD11" s="13"/>
      <c r="EWF11" s="13"/>
      <c r="EWH11" s="13"/>
      <c r="EWJ11" s="13"/>
      <c r="EWL11" s="13"/>
      <c r="EWN11" s="13"/>
      <c r="EWP11" s="13"/>
      <c r="EWR11" s="13"/>
      <c r="EWT11" s="13"/>
      <c r="EWV11" s="13"/>
      <c r="EWX11" s="13"/>
      <c r="EWZ11" s="13"/>
      <c r="EXB11" s="13"/>
      <c r="EXD11" s="13"/>
      <c r="EXF11" s="13"/>
      <c r="EXH11" s="13"/>
      <c r="EXJ11" s="13"/>
      <c r="EXL11" s="13"/>
      <c r="EXN11" s="13"/>
      <c r="EXP11" s="13"/>
      <c r="EXR11" s="13"/>
      <c r="EXT11" s="13"/>
      <c r="EXV11" s="13"/>
      <c r="EXX11" s="13"/>
      <c r="EXZ11" s="13"/>
      <c r="EYB11" s="13"/>
      <c r="EYD11" s="13"/>
      <c r="EYF11" s="13"/>
      <c r="EYH11" s="13"/>
      <c r="EYJ11" s="13"/>
      <c r="EYL11" s="13"/>
      <c r="EYN11" s="13"/>
      <c r="EYP11" s="13"/>
      <c r="EYR11" s="13"/>
      <c r="EYT11" s="13"/>
      <c r="EYV11" s="13"/>
      <c r="EYX11" s="13"/>
      <c r="EYZ11" s="13"/>
      <c r="EZB11" s="13"/>
      <c r="EZD11" s="13"/>
      <c r="EZF11" s="13"/>
      <c r="EZH11" s="13"/>
      <c r="EZJ11" s="13"/>
      <c r="EZL11" s="13"/>
      <c r="EZN11" s="13"/>
      <c r="EZP11" s="13"/>
      <c r="EZR11" s="13"/>
      <c r="EZT11" s="13"/>
      <c r="EZV11" s="13"/>
      <c r="EZX11" s="13"/>
      <c r="EZZ11" s="13"/>
      <c r="FAB11" s="13"/>
      <c r="FAD11" s="13"/>
      <c r="FAF11" s="13"/>
      <c r="FAH11" s="13"/>
      <c r="FAJ11" s="13"/>
      <c r="FAL11" s="13"/>
      <c r="FAN11" s="13"/>
      <c r="FAP11" s="13"/>
      <c r="FAR11" s="13"/>
      <c r="FAT11" s="13"/>
      <c r="FAV11" s="13"/>
      <c r="FAX11" s="13"/>
      <c r="FAZ11" s="13"/>
      <c r="FBB11" s="13"/>
      <c r="FBD11" s="13"/>
      <c r="FBF11" s="13"/>
      <c r="FBH11" s="13"/>
      <c r="FBJ11" s="13"/>
      <c r="FBL11" s="13"/>
      <c r="FBN11" s="13"/>
      <c r="FBP11" s="13"/>
      <c r="FBR11" s="13"/>
      <c r="FBT11" s="13"/>
      <c r="FBV11" s="13"/>
      <c r="FBX11" s="13"/>
      <c r="FBZ11" s="13"/>
      <c r="FCB11" s="13"/>
      <c r="FCD11" s="13"/>
      <c r="FCF11" s="13"/>
      <c r="FCH11" s="13"/>
      <c r="FCJ11" s="13"/>
      <c r="FCL11" s="13"/>
      <c r="FCN11" s="13"/>
      <c r="FCP11" s="13"/>
      <c r="FCR11" s="13"/>
      <c r="FCT11" s="13"/>
      <c r="FCV11" s="13"/>
      <c r="FCX11" s="13"/>
      <c r="FCZ11" s="13"/>
      <c r="FDB11" s="13"/>
      <c r="FDD11" s="13"/>
      <c r="FDF11" s="13"/>
      <c r="FDH11" s="13"/>
      <c r="FDJ11" s="13"/>
      <c r="FDL11" s="13"/>
      <c r="FDN11" s="13"/>
      <c r="FDP11" s="13"/>
      <c r="FDR11" s="13"/>
      <c r="FDT11" s="13"/>
      <c r="FDV11" s="13"/>
      <c r="FDX11" s="13"/>
      <c r="FDZ11" s="13"/>
      <c r="FEB11" s="13"/>
      <c r="FED11" s="13"/>
      <c r="FEF11" s="13"/>
      <c r="FEH11" s="13"/>
      <c r="FEJ11" s="13"/>
      <c r="FEL11" s="13"/>
      <c r="FEN11" s="13"/>
      <c r="FEP11" s="13"/>
      <c r="FER11" s="13"/>
      <c r="FET11" s="13"/>
      <c r="FEV11" s="13"/>
      <c r="FEX11" s="13"/>
      <c r="FEZ11" s="13"/>
      <c r="FFB11" s="13"/>
      <c r="FFD11" s="13"/>
      <c r="FFF11" s="13"/>
      <c r="FFH11" s="13"/>
      <c r="FFJ11" s="13"/>
      <c r="FFL11" s="13"/>
      <c r="FFN11" s="13"/>
      <c r="FFP11" s="13"/>
      <c r="FFR11" s="13"/>
      <c r="FFT11" s="13"/>
      <c r="FFV11" s="13"/>
      <c r="FFX11" s="13"/>
      <c r="FFZ11" s="13"/>
      <c r="FGB11" s="13"/>
      <c r="FGD11" s="13"/>
      <c r="FGF11" s="13"/>
      <c r="FGH11" s="13"/>
      <c r="FGJ11" s="13"/>
      <c r="FGL11" s="13"/>
      <c r="FGN11" s="13"/>
      <c r="FGP11" s="13"/>
      <c r="FGR11" s="13"/>
      <c r="FGT11" s="13"/>
      <c r="FGV11" s="13"/>
      <c r="FGX11" s="13"/>
      <c r="FGZ11" s="13"/>
      <c r="FHB11" s="13"/>
      <c r="FHD11" s="13"/>
      <c r="FHF11" s="13"/>
      <c r="FHH11" s="13"/>
      <c r="FHJ11" s="13"/>
      <c r="FHL11" s="13"/>
      <c r="FHN11" s="13"/>
      <c r="FHP11" s="13"/>
      <c r="FHR11" s="13"/>
      <c r="FHT11" s="13"/>
      <c r="FHV11" s="13"/>
      <c r="FHX11" s="13"/>
      <c r="FHZ11" s="13"/>
      <c r="FIB11" s="13"/>
      <c r="FID11" s="13"/>
      <c r="FIF11" s="13"/>
      <c r="FIH11" s="13"/>
      <c r="FIJ11" s="13"/>
      <c r="FIL11" s="13"/>
      <c r="FIN11" s="13"/>
      <c r="FIP11" s="13"/>
      <c r="FIR11" s="13"/>
      <c r="FIT11" s="13"/>
      <c r="FIV11" s="13"/>
      <c r="FIX11" s="13"/>
      <c r="FIZ11" s="13"/>
      <c r="FJB11" s="13"/>
      <c r="FJD11" s="13"/>
      <c r="FJF11" s="13"/>
      <c r="FJH11" s="13"/>
      <c r="FJJ11" s="13"/>
      <c r="FJL11" s="13"/>
      <c r="FJN11" s="13"/>
      <c r="FJP11" s="13"/>
      <c r="FJR11" s="13"/>
      <c r="FJT11" s="13"/>
      <c r="FJV11" s="13"/>
      <c r="FJX11" s="13"/>
      <c r="FJZ11" s="13"/>
      <c r="FKB11" s="13"/>
      <c r="FKD11" s="13"/>
      <c r="FKF11" s="13"/>
      <c r="FKH11" s="13"/>
      <c r="FKJ11" s="13"/>
      <c r="FKL11" s="13"/>
      <c r="FKN11" s="13"/>
      <c r="FKP11" s="13"/>
      <c r="FKR11" s="13"/>
      <c r="FKT11" s="13"/>
      <c r="FKV11" s="13"/>
      <c r="FKX11" s="13"/>
      <c r="FKZ11" s="13"/>
      <c r="FLB11" s="13"/>
      <c r="FLD11" s="13"/>
      <c r="FLF11" s="13"/>
      <c r="FLH11" s="13"/>
      <c r="FLJ11" s="13"/>
      <c r="FLL11" s="13"/>
      <c r="FLN11" s="13"/>
      <c r="FLP11" s="13"/>
      <c r="FLR11" s="13"/>
      <c r="FLT11" s="13"/>
      <c r="FLV11" s="13"/>
      <c r="FLX11" s="13"/>
      <c r="FLZ11" s="13"/>
      <c r="FMB11" s="13"/>
      <c r="FMD11" s="13"/>
      <c r="FMF11" s="13"/>
      <c r="FMH11" s="13"/>
      <c r="FMJ11" s="13"/>
      <c r="FML11" s="13"/>
      <c r="FMN11" s="13"/>
      <c r="FMP11" s="13"/>
      <c r="FMR11" s="13"/>
      <c r="FMT11" s="13"/>
      <c r="FMV11" s="13"/>
      <c r="FMX11" s="13"/>
      <c r="FMZ11" s="13"/>
      <c r="FNB11" s="13"/>
      <c r="FND11" s="13"/>
      <c r="FNF11" s="13"/>
      <c r="FNH11" s="13"/>
      <c r="FNJ11" s="13"/>
      <c r="FNL11" s="13"/>
      <c r="FNN11" s="13"/>
      <c r="FNP11" s="13"/>
      <c r="FNR11" s="13"/>
      <c r="FNT11" s="13"/>
      <c r="FNV11" s="13"/>
      <c r="FNX11" s="13"/>
      <c r="FNZ11" s="13"/>
      <c r="FOB11" s="13"/>
      <c r="FOD11" s="13"/>
      <c r="FOF11" s="13"/>
      <c r="FOH11" s="13"/>
      <c r="FOJ11" s="13"/>
      <c r="FOL11" s="13"/>
      <c r="FON11" s="13"/>
      <c r="FOP11" s="13"/>
      <c r="FOR11" s="13"/>
      <c r="FOT11" s="13"/>
      <c r="FOV11" s="13"/>
      <c r="FOX11" s="13"/>
      <c r="FOZ11" s="13"/>
      <c r="FPB11" s="13"/>
      <c r="FPD11" s="13"/>
      <c r="FPF11" s="13"/>
      <c r="FPH11" s="13"/>
      <c r="FPJ11" s="13"/>
      <c r="FPL11" s="13"/>
      <c r="FPN11" s="13"/>
      <c r="FPP11" s="13"/>
      <c r="FPR11" s="13"/>
      <c r="FPT11" s="13"/>
      <c r="FPV11" s="13"/>
      <c r="FPX11" s="13"/>
      <c r="FPZ11" s="13"/>
      <c r="FQB11" s="13"/>
      <c r="FQD11" s="13"/>
      <c r="FQF11" s="13"/>
      <c r="FQH11" s="13"/>
      <c r="FQJ11" s="13"/>
      <c r="FQL11" s="13"/>
      <c r="FQN11" s="13"/>
      <c r="FQP11" s="13"/>
      <c r="FQR11" s="13"/>
      <c r="FQT11" s="13"/>
      <c r="FQV11" s="13"/>
      <c r="FQX11" s="13"/>
      <c r="FQZ11" s="13"/>
      <c r="FRB11" s="13"/>
      <c r="FRD11" s="13"/>
      <c r="FRF11" s="13"/>
      <c r="FRH11" s="13"/>
      <c r="FRJ11" s="13"/>
      <c r="FRL11" s="13"/>
      <c r="FRN11" s="13"/>
      <c r="FRP11" s="13"/>
      <c r="FRR11" s="13"/>
      <c r="FRT11" s="13"/>
      <c r="FRV11" s="13"/>
      <c r="FRX11" s="13"/>
      <c r="FRZ11" s="13"/>
      <c r="FSB11" s="13"/>
      <c r="FSD11" s="13"/>
      <c r="FSF11" s="13"/>
      <c r="FSH11" s="13"/>
      <c r="FSJ11" s="13"/>
      <c r="FSL11" s="13"/>
      <c r="FSN11" s="13"/>
      <c r="FSP11" s="13"/>
      <c r="FSR11" s="13"/>
      <c r="FST11" s="13"/>
      <c r="FSV11" s="13"/>
      <c r="FSX11" s="13"/>
      <c r="FSZ11" s="13"/>
      <c r="FTB11" s="13"/>
      <c r="FTD11" s="13"/>
      <c r="FTF11" s="13"/>
      <c r="FTH11" s="13"/>
      <c r="FTJ11" s="13"/>
      <c r="FTL11" s="13"/>
      <c r="FTN11" s="13"/>
      <c r="FTP11" s="13"/>
      <c r="FTR11" s="13"/>
      <c r="FTT11" s="13"/>
      <c r="FTV11" s="13"/>
      <c r="FTX11" s="13"/>
      <c r="FTZ11" s="13"/>
      <c r="FUB11" s="13"/>
      <c r="FUD11" s="13"/>
      <c r="FUF11" s="13"/>
      <c r="FUH11" s="13"/>
      <c r="FUJ11" s="13"/>
      <c r="FUL11" s="13"/>
      <c r="FUN11" s="13"/>
      <c r="FUP11" s="13"/>
      <c r="FUR11" s="13"/>
      <c r="FUT11" s="13"/>
      <c r="FUV11" s="13"/>
      <c r="FUX11" s="13"/>
      <c r="FUZ11" s="13"/>
      <c r="FVB11" s="13"/>
      <c r="FVD11" s="13"/>
      <c r="FVF11" s="13"/>
      <c r="FVH11" s="13"/>
      <c r="FVJ11" s="13"/>
      <c r="FVL11" s="13"/>
      <c r="FVN11" s="13"/>
      <c r="FVP11" s="13"/>
      <c r="FVR11" s="13"/>
      <c r="FVT11" s="13"/>
      <c r="FVV11" s="13"/>
      <c r="FVX11" s="13"/>
      <c r="FVZ11" s="13"/>
      <c r="FWB11" s="13"/>
      <c r="FWD11" s="13"/>
      <c r="FWF11" s="13"/>
      <c r="FWH11" s="13"/>
      <c r="FWJ11" s="13"/>
      <c r="FWL11" s="13"/>
      <c r="FWN11" s="13"/>
      <c r="FWP11" s="13"/>
      <c r="FWR11" s="13"/>
      <c r="FWT11" s="13"/>
      <c r="FWV11" s="13"/>
      <c r="FWX11" s="13"/>
      <c r="FWZ11" s="13"/>
      <c r="FXB11" s="13"/>
      <c r="FXD11" s="13"/>
      <c r="FXF11" s="13"/>
      <c r="FXH11" s="13"/>
      <c r="FXJ11" s="13"/>
      <c r="FXL11" s="13"/>
      <c r="FXN11" s="13"/>
      <c r="FXP11" s="13"/>
      <c r="FXR11" s="13"/>
      <c r="FXT11" s="13"/>
      <c r="FXV11" s="13"/>
      <c r="FXX11" s="13"/>
      <c r="FXZ11" s="13"/>
      <c r="FYB11" s="13"/>
      <c r="FYD11" s="13"/>
      <c r="FYF11" s="13"/>
      <c r="FYH11" s="13"/>
      <c r="FYJ11" s="13"/>
      <c r="FYL11" s="13"/>
      <c r="FYN11" s="13"/>
      <c r="FYP11" s="13"/>
      <c r="FYR11" s="13"/>
      <c r="FYT11" s="13"/>
      <c r="FYV11" s="13"/>
      <c r="FYX11" s="13"/>
      <c r="FYZ11" s="13"/>
      <c r="FZB11" s="13"/>
      <c r="FZD11" s="13"/>
      <c r="FZF11" s="13"/>
      <c r="FZH11" s="13"/>
      <c r="FZJ11" s="13"/>
      <c r="FZL11" s="13"/>
      <c r="FZN11" s="13"/>
      <c r="FZP11" s="13"/>
      <c r="FZR11" s="13"/>
      <c r="FZT11" s="13"/>
      <c r="FZV11" s="13"/>
      <c r="FZX11" s="13"/>
      <c r="FZZ11" s="13"/>
      <c r="GAB11" s="13"/>
      <c r="GAD11" s="13"/>
      <c r="GAF11" s="13"/>
      <c r="GAH11" s="13"/>
      <c r="GAJ11" s="13"/>
      <c r="GAL11" s="13"/>
      <c r="GAN11" s="13"/>
      <c r="GAP11" s="13"/>
      <c r="GAR11" s="13"/>
      <c r="GAT11" s="13"/>
      <c r="GAV11" s="13"/>
      <c r="GAX11" s="13"/>
      <c r="GAZ11" s="13"/>
      <c r="GBB11" s="13"/>
      <c r="GBD11" s="13"/>
      <c r="GBF11" s="13"/>
      <c r="GBH11" s="13"/>
      <c r="GBJ11" s="13"/>
      <c r="GBL11" s="13"/>
      <c r="GBN11" s="13"/>
      <c r="GBP11" s="13"/>
      <c r="GBR11" s="13"/>
      <c r="GBT11" s="13"/>
      <c r="GBV11" s="13"/>
      <c r="GBX11" s="13"/>
      <c r="GBZ11" s="13"/>
      <c r="GCB11" s="13"/>
      <c r="GCD11" s="13"/>
      <c r="GCF11" s="13"/>
      <c r="GCH11" s="13"/>
      <c r="GCJ11" s="13"/>
      <c r="GCL11" s="13"/>
      <c r="GCN11" s="13"/>
      <c r="GCP11" s="13"/>
      <c r="GCR11" s="13"/>
      <c r="GCT11" s="13"/>
      <c r="GCV11" s="13"/>
      <c r="GCX11" s="13"/>
      <c r="GCZ11" s="13"/>
      <c r="GDB11" s="13"/>
      <c r="GDD11" s="13"/>
      <c r="GDF11" s="13"/>
      <c r="GDH11" s="13"/>
      <c r="GDJ11" s="13"/>
      <c r="GDL11" s="13"/>
      <c r="GDN11" s="13"/>
      <c r="GDP11" s="13"/>
      <c r="GDR11" s="13"/>
      <c r="GDT11" s="13"/>
      <c r="GDV11" s="13"/>
      <c r="GDX11" s="13"/>
      <c r="GDZ11" s="13"/>
      <c r="GEB11" s="13"/>
      <c r="GED11" s="13"/>
      <c r="GEF11" s="13"/>
      <c r="GEH11" s="13"/>
      <c r="GEJ11" s="13"/>
      <c r="GEL11" s="13"/>
      <c r="GEN11" s="13"/>
      <c r="GEP11" s="13"/>
      <c r="GER11" s="13"/>
      <c r="GET11" s="13"/>
      <c r="GEV11" s="13"/>
      <c r="GEX11" s="13"/>
      <c r="GEZ11" s="13"/>
      <c r="GFB11" s="13"/>
      <c r="GFD11" s="13"/>
      <c r="GFF11" s="13"/>
      <c r="GFH11" s="13"/>
      <c r="GFJ11" s="13"/>
      <c r="GFL11" s="13"/>
      <c r="GFN11" s="13"/>
      <c r="GFP11" s="13"/>
      <c r="GFR11" s="13"/>
      <c r="GFT11" s="13"/>
      <c r="GFV11" s="13"/>
      <c r="GFX11" s="13"/>
      <c r="GFZ11" s="13"/>
      <c r="GGB11" s="13"/>
      <c r="GGD11" s="13"/>
      <c r="GGF11" s="13"/>
      <c r="GGH11" s="13"/>
      <c r="GGJ11" s="13"/>
      <c r="GGL11" s="13"/>
      <c r="GGN11" s="13"/>
      <c r="GGP11" s="13"/>
      <c r="GGR11" s="13"/>
      <c r="GGT11" s="13"/>
      <c r="GGV11" s="13"/>
      <c r="GGX11" s="13"/>
      <c r="GGZ11" s="13"/>
      <c r="GHB11" s="13"/>
      <c r="GHD11" s="13"/>
      <c r="GHF11" s="13"/>
      <c r="GHH11" s="13"/>
      <c r="GHJ11" s="13"/>
      <c r="GHL11" s="13"/>
      <c r="GHN11" s="13"/>
      <c r="GHP11" s="13"/>
      <c r="GHR11" s="13"/>
      <c r="GHT11" s="13"/>
      <c r="GHV11" s="13"/>
      <c r="GHX11" s="13"/>
      <c r="GHZ11" s="13"/>
      <c r="GIB11" s="13"/>
      <c r="GID11" s="13"/>
      <c r="GIF11" s="13"/>
      <c r="GIH11" s="13"/>
      <c r="GIJ11" s="13"/>
      <c r="GIL11" s="13"/>
      <c r="GIN11" s="13"/>
      <c r="GIP11" s="13"/>
      <c r="GIR11" s="13"/>
      <c r="GIT11" s="13"/>
      <c r="GIV11" s="13"/>
      <c r="GIX11" s="13"/>
      <c r="GIZ11" s="13"/>
      <c r="GJB11" s="13"/>
      <c r="GJD11" s="13"/>
      <c r="GJF11" s="13"/>
      <c r="GJH11" s="13"/>
      <c r="GJJ11" s="13"/>
      <c r="GJL11" s="13"/>
      <c r="GJN11" s="13"/>
      <c r="GJP11" s="13"/>
      <c r="GJR11" s="13"/>
      <c r="GJT11" s="13"/>
      <c r="GJV11" s="13"/>
      <c r="GJX11" s="13"/>
      <c r="GJZ11" s="13"/>
      <c r="GKB11" s="13"/>
      <c r="GKD11" s="13"/>
      <c r="GKF11" s="13"/>
      <c r="GKH11" s="13"/>
      <c r="GKJ11" s="13"/>
      <c r="GKL11" s="13"/>
      <c r="GKN11" s="13"/>
      <c r="GKP11" s="13"/>
      <c r="GKR11" s="13"/>
      <c r="GKT11" s="13"/>
      <c r="GKV11" s="13"/>
      <c r="GKX11" s="13"/>
      <c r="GKZ11" s="13"/>
      <c r="GLB11" s="13"/>
      <c r="GLD11" s="13"/>
      <c r="GLF11" s="13"/>
      <c r="GLH11" s="13"/>
      <c r="GLJ11" s="13"/>
      <c r="GLL11" s="13"/>
      <c r="GLN11" s="13"/>
      <c r="GLP11" s="13"/>
      <c r="GLR11" s="13"/>
      <c r="GLT11" s="13"/>
      <c r="GLV11" s="13"/>
      <c r="GLX11" s="13"/>
      <c r="GLZ11" s="13"/>
      <c r="GMB11" s="13"/>
      <c r="GMD11" s="13"/>
      <c r="GMF11" s="13"/>
      <c r="GMH11" s="13"/>
      <c r="GMJ11" s="13"/>
      <c r="GML11" s="13"/>
      <c r="GMN11" s="13"/>
      <c r="GMP11" s="13"/>
      <c r="GMR11" s="13"/>
      <c r="GMT11" s="13"/>
      <c r="GMV11" s="13"/>
      <c r="GMX11" s="13"/>
      <c r="GMZ11" s="13"/>
      <c r="GNB11" s="13"/>
      <c r="GND11" s="13"/>
      <c r="GNF11" s="13"/>
      <c r="GNH11" s="13"/>
      <c r="GNJ11" s="13"/>
      <c r="GNL11" s="13"/>
      <c r="GNN11" s="13"/>
      <c r="GNP11" s="13"/>
      <c r="GNR11" s="13"/>
      <c r="GNT11" s="13"/>
      <c r="GNV11" s="13"/>
      <c r="GNX11" s="13"/>
      <c r="GNZ11" s="13"/>
      <c r="GOB11" s="13"/>
      <c r="GOD11" s="13"/>
      <c r="GOF11" s="13"/>
      <c r="GOH11" s="13"/>
      <c r="GOJ11" s="13"/>
      <c r="GOL11" s="13"/>
      <c r="GON11" s="13"/>
      <c r="GOP11" s="13"/>
      <c r="GOR11" s="13"/>
      <c r="GOT11" s="13"/>
      <c r="GOV11" s="13"/>
      <c r="GOX11" s="13"/>
      <c r="GOZ11" s="13"/>
      <c r="GPB11" s="13"/>
      <c r="GPD11" s="13"/>
      <c r="GPF11" s="13"/>
      <c r="GPH11" s="13"/>
      <c r="GPJ11" s="13"/>
      <c r="GPL11" s="13"/>
      <c r="GPN11" s="13"/>
      <c r="GPP11" s="13"/>
      <c r="GPR11" s="13"/>
      <c r="GPT11" s="13"/>
      <c r="GPV11" s="13"/>
      <c r="GPX11" s="13"/>
      <c r="GPZ11" s="13"/>
      <c r="GQB11" s="13"/>
      <c r="GQD11" s="13"/>
      <c r="GQF11" s="13"/>
      <c r="GQH11" s="13"/>
      <c r="GQJ11" s="13"/>
      <c r="GQL11" s="13"/>
      <c r="GQN11" s="13"/>
      <c r="GQP11" s="13"/>
      <c r="GQR11" s="13"/>
      <c r="GQT11" s="13"/>
      <c r="GQV11" s="13"/>
      <c r="GQX11" s="13"/>
      <c r="GQZ11" s="13"/>
      <c r="GRB11" s="13"/>
      <c r="GRD11" s="13"/>
      <c r="GRF11" s="13"/>
      <c r="GRH11" s="13"/>
      <c r="GRJ11" s="13"/>
      <c r="GRL11" s="13"/>
      <c r="GRN11" s="13"/>
      <c r="GRP11" s="13"/>
      <c r="GRR11" s="13"/>
      <c r="GRT11" s="13"/>
      <c r="GRV11" s="13"/>
      <c r="GRX11" s="13"/>
      <c r="GRZ11" s="13"/>
      <c r="GSB11" s="13"/>
      <c r="GSD11" s="13"/>
      <c r="GSF11" s="13"/>
      <c r="GSH11" s="13"/>
      <c r="GSJ11" s="13"/>
      <c r="GSL11" s="13"/>
      <c r="GSN11" s="13"/>
      <c r="GSP11" s="13"/>
      <c r="GSR11" s="13"/>
      <c r="GST11" s="13"/>
      <c r="GSV11" s="13"/>
      <c r="GSX11" s="13"/>
      <c r="GSZ11" s="13"/>
      <c r="GTB11" s="13"/>
      <c r="GTD11" s="13"/>
      <c r="GTF11" s="13"/>
      <c r="GTH11" s="13"/>
      <c r="GTJ11" s="13"/>
      <c r="GTL11" s="13"/>
      <c r="GTN11" s="13"/>
      <c r="GTP11" s="13"/>
      <c r="GTR11" s="13"/>
      <c r="GTT11" s="13"/>
      <c r="GTV11" s="13"/>
      <c r="GTX11" s="13"/>
      <c r="GTZ11" s="13"/>
      <c r="GUB11" s="13"/>
      <c r="GUD11" s="13"/>
      <c r="GUF11" s="13"/>
      <c r="GUH11" s="13"/>
      <c r="GUJ11" s="13"/>
      <c r="GUL11" s="13"/>
      <c r="GUN11" s="13"/>
      <c r="GUP11" s="13"/>
      <c r="GUR11" s="13"/>
      <c r="GUT11" s="13"/>
      <c r="GUV11" s="13"/>
      <c r="GUX11" s="13"/>
      <c r="GUZ11" s="13"/>
      <c r="GVB11" s="13"/>
      <c r="GVD11" s="13"/>
      <c r="GVF11" s="13"/>
      <c r="GVH11" s="13"/>
      <c r="GVJ11" s="13"/>
      <c r="GVL11" s="13"/>
      <c r="GVN11" s="13"/>
      <c r="GVP11" s="13"/>
      <c r="GVR11" s="13"/>
      <c r="GVT11" s="13"/>
      <c r="GVV11" s="13"/>
      <c r="GVX11" s="13"/>
      <c r="GVZ11" s="13"/>
      <c r="GWB11" s="13"/>
      <c r="GWD11" s="13"/>
      <c r="GWF11" s="13"/>
      <c r="GWH11" s="13"/>
      <c r="GWJ11" s="13"/>
      <c r="GWL11" s="13"/>
      <c r="GWN11" s="13"/>
      <c r="GWP11" s="13"/>
      <c r="GWR11" s="13"/>
      <c r="GWT11" s="13"/>
      <c r="GWV11" s="13"/>
      <c r="GWX11" s="13"/>
      <c r="GWZ11" s="13"/>
      <c r="GXB11" s="13"/>
      <c r="GXD11" s="13"/>
      <c r="GXF11" s="13"/>
      <c r="GXH11" s="13"/>
      <c r="GXJ11" s="13"/>
      <c r="GXL11" s="13"/>
      <c r="GXN11" s="13"/>
      <c r="GXP11" s="13"/>
      <c r="GXR11" s="13"/>
      <c r="GXT11" s="13"/>
      <c r="GXV11" s="13"/>
      <c r="GXX11" s="13"/>
      <c r="GXZ11" s="13"/>
      <c r="GYB11" s="13"/>
      <c r="GYD11" s="13"/>
      <c r="GYF11" s="13"/>
      <c r="GYH11" s="13"/>
      <c r="GYJ11" s="13"/>
      <c r="GYL11" s="13"/>
      <c r="GYN11" s="13"/>
      <c r="GYP11" s="13"/>
      <c r="GYR11" s="13"/>
      <c r="GYT11" s="13"/>
      <c r="GYV11" s="13"/>
      <c r="GYX11" s="13"/>
      <c r="GYZ11" s="13"/>
      <c r="GZB11" s="13"/>
      <c r="GZD11" s="13"/>
      <c r="GZF11" s="13"/>
      <c r="GZH11" s="13"/>
      <c r="GZJ11" s="13"/>
      <c r="GZL11" s="13"/>
      <c r="GZN11" s="13"/>
      <c r="GZP11" s="13"/>
      <c r="GZR11" s="13"/>
      <c r="GZT11" s="13"/>
      <c r="GZV11" s="13"/>
      <c r="GZX11" s="13"/>
      <c r="GZZ11" s="13"/>
      <c r="HAB11" s="13"/>
      <c r="HAD11" s="13"/>
      <c r="HAF11" s="13"/>
      <c r="HAH11" s="13"/>
      <c r="HAJ11" s="13"/>
      <c r="HAL11" s="13"/>
      <c r="HAN11" s="13"/>
      <c r="HAP11" s="13"/>
      <c r="HAR11" s="13"/>
      <c r="HAT11" s="13"/>
      <c r="HAV11" s="13"/>
      <c r="HAX11" s="13"/>
      <c r="HAZ11" s="13"/>
      <c r="HBB11" s="13"/>
      <c r="HBD11" s="13"/>
      <c r="HBF11" s="13"/>
      <c r="HBH11" s="13"/>
      <c r="HBJ11" s="13"/>
      <c r="HBL11" s="13"/>
      <c r="HBN11" s="13"/>
      <c r="HBP11" s="13"/>
      <c r="HBR11" s="13"/>
      <c r="HBT11" s="13"/>
      <c r="HBV11" s="13"/>
      <c r="HBX11" s="13"/>
      <c r="HBZ11" s="13"/>
      <c r="HCB11" s="13"/>
      <c r="HCD11" s="13"/>
      <c r="HCF11" s="13"/>
      <c r="HCH11" s="13"/>
      <c r="HCJ11" s="13"/>
      <c r="HCL11" s="13"/>
      <c r="HCN11" s="13"/>
      <c r="HCP11" s="13"/>
      <c r="HCR11" s="13"/>
      <c r="HCT11" s="13"/>
      <c r="HCV11" s="13"/>
      <c r="HCX11" s="13"/>
      <c r="HCZ11" s="13"/>
      <c r="HDB11" s="13"/>
      <c r="HDD11" s="13"/>
      <c r="HDF11" s="13"/>
      <c r="HDH11" s="13"/>
      <c r="HDJ11" s="13"/>
      <c r="HDL11" s="13"/>
      <c r="HDN11" s="13"/>
      <c r="HDP11" s="13"/>
      <c r="HDR11" s="13"/>
      <c r="HDT11" s="13"/>
      <c r="HDV11" s="13"/>
      <c r="HDX11" s="13"/>
      <c r="HDZ11" s="13"/>
      <c r="HEB11" s="13"/>
      <c r="HED11" s="13"/>
      <c r="HEF11" s="13"/>
      <c r="HEH11" s="13"/>
      <c r="HEJ11" s="13"/>
      <c r="HEL11" s="13"/>
      <c r="HEN11" s="13"/>
      <c r="HEP11" s="13"/>
      <c r="HER11" s="13"/>
      <c r="HET11" s="13"/>
      <c r="HEV11" s="13"/>
      <c r="HEX11" s="13"/>
      <c r="HEZ11" s="13"/>
      <c r="HFB11" s="13"/>
      <c r="HFD11" s="13"/>
      <c r="HFF11" s="13"/>
      <c r="HFH11" s="13"/>
      <c r="HFJ11" s="13"/>
      <c r="HFL11" s="13"/>
      <c r="HFN11" s="13"/>
      <c r="HFP11" s="13"/>
      <c r="HFR11" s="13"/>
      <c r="HFT11" s="13"/>
      <c r="HFV11" s="13"/>
      <c r="HFX11" s="13"/>
      <c r="HFZ11" s="13"/>
      <c r="HGB11" s="13"/>
      <c r="HGD11" s="13"/>
      <c r="HGF11" s="13"/>
      <c r="HGH11" s="13"/>
      <c r="HGJ11" s="13"/>
      <c r="HGL11" s="13"/>
      <c r="HGN11" s="13"/>
      <c r="HGP11" s="13"/>
      <c r="HGR11" s="13"/>
      <c r="HGT11" s="13"/>
      <c r="HGV11" s="13"/>
      <c r="HGX11" s="13"/>
      <c r="HGZ11" s="13"/>
      <c r="HHB11" s="13"/>
      <c r="HHD11" s="13"/>
      <c r="HHF11" s="13"/>
      <c r="HHH11" s="13"/>
      <c r="HHJ11" s="13"/>
      <c r="HHL11" s="13"/>
      <c r="HHN11" s="13"/>
      <c r="HHP11" s="13"/>
      <c r="HHR11" s="13"/>
      <c r="HHT11" s="13"/>
      <c r="HHV11" s="13"/>
      <c r="HHX11" s="13"/>
      <c r="HHZ11" s="13"/>
      <c r="HIB11" s="13"/>
      <c r="HID11" s="13"/>
      <c r="HIF11" s="13"/>
      <c r="HIH11" s="13"/>
      <c r="HIJ11" s="13"/>
      <c r="HIL11" s="13"/>
      <c r="HIN11" s="13"/>
      <c r="HIP11" s="13"/>
      <c r="HIR11" s="13"/>
      <c r="HIT11" s="13"/>
      <c r="HIV11" s="13"/>
      <c r="HIX11" s="13"/>
      <c r="HIZ11" s="13"/>
      <c r="HJB11" s="13"/>
      <c r="HJD11" s="13"/>
      <c r="HJF11" s="13"/>
      <c r="HJH11" s="13"/>
      <c r="HJJ11" s="13"/>
      <c r="HJL11" s="13"/>
      <c r="HJN11" s="13"/>
      <c r="HJP11" s="13"/>
      <c r="HJR11" s="13"/>
      <c r="HJT11" s="13"/>
      <c r="HJV11" s="13"/>
      <c r="HJX11" s="13"/>
      <c r="HJZ11" s="13"/>
      <c r="HKB11" s="13"/>
      <c r="HKD11" s="13"/>
      <c r="HKF11" s="13"/>
      <c r="HKH11" s="13"/>
      <c r="HKJ11" s="13"/>
      <c r="HKL11" s="13"/>
      <c r="HKN11" s="13"/>
      <c r="HKP11" s="13"/>
      <c r="HKR11" s="13"/>
      <c r="HKT11" s="13"/>
      <c r="HKV11" s="13"/>
      <c r="HKX11" s="13"/>
      <c r="HKZ11" s="13"/>
      <c r="HLB11" s="13"/>
      <c r="HLD11" s="13"/>
      <c r="HLF11" s="13"/>
      <c r="HLH11" s="13"/>
      <c r="HLJ11" s="13"/>
      <c r="HLL11" s="13"/>
      <c r="HLN11" s="13"/>
      <c r="HLP11" s="13"/>
      <c r="HLR11" s="13"/>
      <c r="HLT11" s="13"/>
      <c r="HLV11" s="13"/>
      <c r="HLX11" s="13"/>
      <c r="HLZ11" s="13"/>
      <c r="HMB11" s="13"/>
      <c r="HMD11" s="13"/>
      <c r="HMF11" s="13"/>
      <c r="HMH11" s="13"/>
      <c r="HMJ11" s="13"/>
      <c r="HML11" s="13"/>
      <c r="HMN11" s="13"/>
      <c r="HMP11" s="13"/>
      <c r="HMR11" s="13"/>
      <c r="HMT11" s="13"/>
      <c r="HMV11" s="13"/>
      <c r="HMX11" s="13"/>
      <c r="HMZ11" s="13"/>
      <c r="HNB11" s="13"/>
      <c r="HND11" s="13"/>
      <c r="HNF11" s="13"/>
      <c r="HNH11" s="13"/>
      <c r="HNJ11" s="13"/>
      <c r="HNL11" s="13"/>
      <c r="HNN11" s="13"/>
      <c r="HNP11" s="13"/>
      <c r="HNR11" s="13"/>
      <c r="HNT11" s="13"/>
      <c r="HNV11" s="13"/>
      <c r="HNX11" s="13"/>
      <c r="HNZ11" s="13"/>
      <c r="HOB11" s="13"/>
      <c r="HOD11" s="13"/>
      <c r="HOF11" s="13"/>
      <c r="HOH11" s="13"/>
      <c r="HOJ11" s="13"/>
      <c r="HOL11" s="13"/>
      <c r="HON11" s="13"/>
      <c r="HOP11" s="13"/>
      <c r="HOR11" s="13"/>
      <c r="HOT11" s="13"/>
      <c r="HOV11" s="13"/>
      <c r="HOX11" s="13"/>
      <c r="HOZ11" s="13"/>
      <c r="HPB11" s="13"/>
      <c r="HPD11" s="13"/>
      <c r="HPF11" s="13"/>
      <c r="HPH11" s="13"/>
      <c r="HPJ11" s="13"/>
      <c r="HPL11" s="13"/>
      <c r="HPN11" s="13"/>
      <c r="HPP11" s="13"/>
      <c r="HPR11" s="13"/>
      <c r="HPT11" s="13"/>
      <c r="HPV11" s="13"/>
      <c r="HPX11" s="13"/>
      <c r="HPZ11" s="13"/>
      <c r="HQB11" s="13"/>
      <c r="HQD11" s="13"/>
      <c r="HQF11" s="13"/>
      <c r="HQH11" s="13"/>
      <c r="HQJ11" s="13"/>
      <c r="HQL11" s="13"/>
      <c r="HQN11" s="13"/>
      <c r="HQP11" s="13"/>
      <c r="HQR11" s="13"/>
      <c r="HQT11" s="13"/>
      <c r="HQV11" s="13"/>
      <c r="HQX11" s="13"/>
      <c r="HQZ11" s="13"/>
      <c r="HRB11" s="13"/>
      <c r="HRD11" s="13"/>
      <c r="HRF11" s="13"/>
      <c r="HRH11" s="13"/>
      <c r="HRJ11" s="13"/>
      <c r="HRL11" s="13"/>
      <c r="HRN11" s="13"/>
      <c r="HRP11" s="13"/>
      <c r="HRR11" s="13"/>
      <c r="HRT11" s="13"/>
      <c r="HRV11" s="13"/>
      <c r="HRX11" s="13"/>
      <c r="HRZ11" s="13"/>
      <c r="HSB11" s="13"/>
      <c r="HSD11" s="13"/>
      <c r="HSF11" s="13"/>
      <c r="HSH11" s="13"/>
      <c r="HSJ11" s="13"/>
      <c r="HSL11" s="13"/>
      <c r="HSN11" s="13"/>
      <c r="HSP11" s="13"/>
      <c r="HSR11" s="13"/>
      <c r="HST11" s="13"/>
      <c r="HSV11" s="13"/>
      <c r="HSX11" s="13"/>
      <c r="HSZ11" s="13"/>
      <c r="HTB11" s="13"/>
      <c r="HTD11" s="13"/>
      <c r="HTF11" s="13"/>
      <c r="HTH11" s="13"/>
      <c r="HTJ11" s="13"/>
      <c r="HTL11" s="13"/>
      <c r="HTN11" s="13"/>
      <c r="HTP11" s="13"/>
      <c r="HTR11" s="13"/>
      <c r="HTT11" s="13"/>
      <c r="HTV11" s="13"/>
      <c r="HTX11" s="13"/>
      <c r="HTZ11" s="13"/>
      <c r="HUB11" s="13"/>
      <c r="HUD11" s="13"/>
      <c r="HUF11" s="13"/>
      <c r="HUH11" s="13"/>
      <c r="HUJ11" s="13"/>
      <c r="HUL11" s="13"/>
      <c r="HUN11" s="13"/>
      <c r="HUP11" s="13"/>
      <c r="HUR11" s="13"/>
      <c r="HUT11" s="13"/>
      <c r="HUV11" s="13"/>
      <c r="HUX11" s="13"/>
      <c r="HUZ11" s="13"/>
      <c r="HVB11" s="13"/>
      <c r="HVD11" s="13"/>
      <c r="HVF11" s="13"/>
      <c r="HVH11" s="13"/>
      <c r="HVJ11" s="13"/>
      <c r="HVL11" s="13"/>
      <c r="HVN11" s="13"/>
      <c r="HVP11" s="13"/>
      <c r="HVR11" s="13"/>
      <c r="HVT11" s="13"/>
      <c r="HVV11" s="13"/>
      <c r="HVX11" s="13"/>
      <c r="HVZ11" s="13"/>
      <c r="HWB11" s="13"/>
      <c r="HWD11" s="13"/>
      <c r="HWF11" s="13"/>
      <c r="HWH11" s="13"/>
      <c r="HWJ11" s="13"/>
      <c r="HWL11" s="13"/>
      <c r="HWN11" s="13"/>
      <c r="HWP11" s="13"/>
      <c r="HWR11" s="13"/>
      <c r="HWT11" s="13"/>
      <c r="HWV11" s="13"/>
      <c r="HWX11" s="13"/>
      <c r="HWZ11" s="13"/>
      <c r="HXB11" s="13"/>
      <c r="HXD11" s="13"/>
      <c r="HXF11" s="13"/>
      <c r="HXH11" s="13"/>
      <c r="HXJ11" s="13"/>
      <c r="HXL11" s="13"/>
      <c r="HXN11" s="13"/>
      <c r="HXP11" s="13"/>
      <c r="HXR11" s="13"/>
      <c r="HXT11" s="13"/>
      <c r="HXV11" s="13"/>
      <c r="HXX11" s="13"/>
      <c r="HXZ11" s="13"/>
      <c r="HYB11" s="13"/>
      <c r="HYD11" s="13"/>
      <c r="HYF11" s="13"/>
      <c r="HYH11" s="13"/>
      <c r="HYJ11" s="13"/>
      <c r="HYL11" s="13"/>
      <c r="HYN11" s="13"/>
      <c r="HYP11" s="13"/>
      <c r="HYR11" s="13"/>
      <c r="HYT11" s="13"/>
      <c r="HYV11" s="13"/>
      <c r="HYX11" s="13"/>
      <c r="HYZ11" s="13"/>
      <c r="HZB11" s="13"/>
      <c r="HZD11" s="13"/>
      <c r="HZF11" s="13"/>
      <c r="HZH11" s="13"/>
      <c r="HZJ11" s="13"/>
      <c r="HZL11" s="13"/>
      <c r="HZN11" s="13"/>
      <c r="HZP11" s="13"/>
      <c r="HZR11" s="13"/>
      <c r="HZT11" s="13"/>
      <c r="HZV11" s="13"/>
      <c r="HZX11" s="13"/>
      <c r="HZZ11" s="13"/>
      <c r="IAB11" s="13"/>
      <c r="IAD11" s="13"/>
      <c r="IAF11" s="13"/>
      <c r="IAH11" s="13"/>
      <c r="IAJ11" s="13"/>
      <c r="IAL11" s="13"/>
      <c r="IAN11" s="13"/>
      <c r="IAP11" s="13"/>
      <c r="IAR11" s="13"/>
      <c r="IAT11" s="13"/>
      <c r="IAV11" s="13"/>
      <c r="IAX11" s="13"/>
      <c r="IAZ11" s="13"/>
      <c r="IBB11" s="13"/>
      <c r="IBD11" s="13"/>
      <c r="IBF11" s="13"/>
      <c r="IBH11" s="13"/>
      <c r="IBJ11" s="13"/>
      <c r="IBL11" s="13"/>
      <c r="IBN11" s="13"/>
      <c r="IBP11" s="13"/>
      <c r="IBR11" s="13"/>
      <c r="IBT11" s="13"/>
      <c r="IBV11" s="13"/>
      <c r="IBX11" s="13"/>
      <c r="IBZ11" s="13"/>
      <c r="ICB11" s="13"/>
      <c r="ICD11" s="13"/>
      <c r="ICF11" s="13"/>
      <c r="ICH11" s="13"/>
      <c r="ICJ11" s="13"/>
      <c r="ICL11" s="13"/>
      <c r="ICN11" s="13"/>
      <c r="ICP11" s="13"/>
      <c r="ICR11" s="13"/>
      <c r="ICT11" s="13"/>
      <c r="ICV11" s="13"/>
      <c r="ICX11" s="13"/>
      <c r="ICZ11" s="13"/>
      <c r="IDB11" s="13"/>
      <c r="IDD11" s="13"/>
      <c r="IDF11" s="13"/>
      <c r="IDH11" s="13"/>
      <c r="IDJ11" s="13"/>
      <c r="IDL11" s="13"/>
      <c r="IDN11" s="13"/>
      <c r="IDP11" s="13"/>
      <c r="IDR11" s="13"/>
      <c r="IDT11" s="13"/>
      <c r="IDV11" s="13"/>
      <c r="IDX11" s="13"/>
      <c r="IDZ11" s="13"/>
      <c r="IEB11" s="13"/>
      <c r="IED11" s="13"/>
      <c r="IEF11" s="13"/>
      <c r="IEH11" s="13"/>
      <c r="IEJ11" s="13"/>
      <c r="IEL11" s="13"/>
      <c r="IEN11" s="13"/>
      <c r="IEP11" s="13"/>
      <c r="IER11" s="13"/>
      <c r="IET11" s="13"/>
      <c r="IEV11" s="13"/>
      <c r="IEX11" s="13"/>
      <c r="IEZ11" s="13"/>
      <c r="IFB11" s="13"/>
      <c r="IFD11" s="13"/>
      <c r="IFF11" s="13"/>
      <c r="IFH11" s="13"/>
      <c r="IFJ11" s="13"/>
      <c r="IFL11" s="13"/>
      <c r="IFN11" s="13"/>
      <c r="IFP11" s="13"/>
      <c r="IFR11" s="13"/>
      <c r="IFT11" s="13"/>
      <c r="IFV11" s="13"/>
      <c r="IFX11" s="13"/>
      <c r="IFZ11" s="13"/>
      <c r="IGB11" s="13"/>
      <c r="IGD11" s="13"/>
      <c r="IGF11" s="13"/>
      <c r="IGH11" s="13"/>
      <c r="IGJ11" s="13"/>
      <c r="IGL11" s="13"/>
      <c r="IGN11" s="13"/>
      <c r="IGP11" s="13"/>
      <c r="IGR11" s="13"/>
      <c r="IGT11" s="13"/>
      <c r="IGV11" s="13"/>
      <c r="IGX11" s="13"/>
      <c r="IGZ11" s="13"/>
      <c r="IHB11" s="13"/>
      <c r="IHD11" s="13"/>
      <c r="IHF11" s="13"/>
      <c r="IHH11" s="13"/>
      <c r="IHJ11" s="13"/>
      <c r="IHL11" s="13"/>
      <c r="IHN11" s="13"/>
      <c r="IHP11" s="13"/>
      <c r="IHR11" s="13"/>
      <c r="IHT11" s="13"/>
      <c r="IHV11" s="13"/>
      <c r="IHX11" s="13"/>
      <c r="IHZ11" s="13"/>
      <c r="IIB11" s="13"/>
      <c r="IID11" s="13"/>
      <c r="IIF11" s="13"/>
      <c r="IIH11" s="13"/>
      <c r="IIJ11" s="13"/>
      <c r="IIL11" s="13"/>
      <c r="IIN11" s="13"/>
      <c r="IIP11" s="13"/>
      <c r="IIR11" s="13"/>
      <c r="IIT11" s="13"/>
      <c r="IIV11" s="13"/>
      <c r="IIX11" s="13"/>
      <c r="IIZ11" s="13"/>
      <c r="IJB11" s="13"/>
      <c r="IJD11" s="13"/>
      <c r="IJF11" s="13"/>
      <c r="IJH11" s="13"/>
      <c r="IJJ11" s="13"/>
      <c r="IJL11" s="13"/>
      <c r="IJN11" s="13"/>
      <c r="IJP11" s="13"/>
      <c r="IJR11" s="13"/>
      <c r="IJT11" s="13"/>
      <c r="IJV11" s="13"/>
      <c r="IJX11" s="13"/>
      <c r="IJZ11" s="13"/>
      <c r="IKB11" s="13"/>
      <c r="IKD11" s="13"/>
      <c r="IKF11" s="13"/>
      <c r="IKH11" s="13"/>
      <c r="IKJ11" s="13"/>
      <c r="IKL11" s="13"/>
      <c r="IKN11" s="13"/>
      <c r="IKP11" s="13"/>
      <c r="IKR11" s="13"/>
      <c r="IKT11" s="13"/>
      <c r="IKV11" s="13"/>
      <c r="IKX11" s="13"/>
      <c r="IKZ11" s="13"/>
      <c r="ILB11" s="13"/>
      <c r="ILD11" s="13"/>
      <c r="ILF11" s="13"/>
      <c r="ILH11" s="13"/>
      <c r="ILJ11" s="13"/>
      <c r="ILL11" s="13"/>
      <c r="ILN11" s="13"/>
      <c r="ILP11" s="13"/>
      <c r="ILR11" s="13"/>
      <c r="ILT11" s="13"/>
      <c r="ILV11" s="13"/>
      <c r="ILX11" s="13"/>
      <c r="ILZ11" s="13"/>
      <c r="IMB11" s="13"/>
      <c r="IMD11" s="13"/>
      <c r="IMF11" s="13"/>
      <c r="IMH11" s="13"/>
      <c r="IMJ11" s="13"/>
      <c r="IML11" s="13"/>
      <c r="IMN11" s="13"/>
      <c r="IMP11" s="13"/>
      <c r="IMR11" s="13"/>
      <c r="IMT11" s="13"/>
      <c r="IMV11" s="13"/>
      <c r="IMX11" s="13"/>
      <c r="IMZ11" s="13"/>
      <c r="INB11" s="13"/>
      <c r="IND11" s="13"/>
      <c r="INF11" s="13"/>
      <c r="INH11" s="13"/>
      <c r="INJ11" s="13"/>
      <c r="INL11" s="13"/>
      <c r="INN11" s="13"/>
      <c r="INP11" s="13"/>
      <c r="INR11" s="13"/>
      <c r="INT11" s="13"/>
      <c r="INV11" s="13"/>
      <c r="INX11" s="13"/>
      <c r="INZ11" s="13"/>
      <c r="IOB11" s="13"/>
      <c r="IOD11" s="13"/>
      <c r="IOF11" s="13"/>
      <c r="IOH11" s="13"/>
      <c r="IOJ11" s="13"/>
      <c r="IOL11" s="13"/>
      <c r="ION11" s="13"/>
      <c r="IOP11" s="13"/>
      <c r="IOR11" s="13"/>
      <c r="IOT11" s="13"/>
      <c r="IOV11" s="13"/>
      <c r="IOX11" s="13"/>
      <c r="IOZ11" s="13"/>
      <c r="IPB11" s="13"/>
      <c r="IPD11" s="13"/>
      <c r="IPF11" s="13"/>
      <c r="IPH11" s="13"/>
      <c r="IPJ11" s="13"/>
      <c r="IPL11" s="13"/>
      <c r="IPN11" s="13"/>
      <c r="IPP11" s="13"/>
      <c r="IPR11" s="13"/>
      <c r="IPT11" s="13"/>
      <c r="IPV11" s="13"/>
      <c r="IPX11" s="13"/>
      <c r="IPZ11" s="13"/>
      <c r="IQB11" s="13"/>
      <c r="IQD11" s="13"/>
      <c r="IQF11" s="13"/>
      <c r="IQH11" s="13"/>
      <c r="IQJ11" s="13"/>
      <c r="IQL11" s="13"/>
      <c r="IQN11" s="13"/>
      <c r="IQP11" s="13"/>
      <c r="IQR11" s="13"/>
      <c r="IQT11" s="13"/>
      <c r="IQV11" s="13"/>
      <c r="IQX11" s="13"/>
      <c r="IQZ11" s="13"/>
      <c r="IRB11" s="13"/>
      <c r="IRD11" s="13"/>
      <c r="IRF11" s="13"/>
      <c r="IRH11" s="13"/>
      <c r="IRJ11" s="13"/>
      <c r="IRL11" s="13"/>
      <c r="IRN11" s="13"/>
      <c r="IRP11" s="13"/>
      <c r="IRR11" s="13"/>
      <c r="IRT11" s="13"/>
      <c r="IRV11" s="13"/>
      <c r="IRX11" s="13"/>
      <c r="IRZ11" s="13"/>
      <c r="ISB11" s="13"/>
      <c r="ISD11" s="13"/>
      <c r="ISF11" s="13"/>
      <c r="ISH11" s="13"/>
      <c r="ISJ11" s="13"/>
      <c r="ISL11" s="13"/>
      <c r="ISN11" s="13"/>
      <c r="ISP11" s="13"/>
      <c r="ISR11" s="13"/>
      <c r="IST11" s="13"/>
      <c r="ISV11" s="13"/>
      <c r="ISX11" s="13"/>
      <c r="ISZ11" s="13"/>
      <c r="ITB11" s="13"/>
      <c r="ITD11" s="13"/>
      <c r="ITF11" s="13"/>
      <c r="ITH11" s="13"/>
      <c r="ITJ11" s="13"/>
      <c r="ITL11" s="13"/>
      <c r="ITN11" s="13"/>
      <c r="ITP11" s="13"/>
      <c r="ITR11" s="13"/>
      <c r="ITT11" s="13"/>
      <c r="ITV11" s="13"/>
      <c r="ITX11" s="13"/>
      <c r="ITZ11" s="13"/>
      <c r="IUB11" s="13"/>
      <c r="IUD11" s="13"/>
      <c r="IUF11" s="13"/>
      <c r="IUH11" s="13"/>
      <c r="IUJ11" s="13"/>
      <c r="IUL11" s="13"/>
      <c r="IUN11" s="13"/>
      <c r="IUP11" s="13"/>
      <c r="IUR11" s="13"/>
      <c r="IUT11" s="13"/>
      <c r="IUV11" s="13"/>
      <c r="IUX11" s="13"/>
      <c r="IUZ11" s="13"/>
      <c r="IVB11" s="13"/>
      <c r="IVD11" s="13"/>
      <c r="IVF11" s="13"/>
      <c r="IVH11" s="13"/>
      <c r="IVJ11" s="13"/>
      <c r="IVL11" s="13"/>
      <c r="IVN11" s="13"/>
      <c r="IVP11" s="13"/>
      <c r="IVR11" s="13"/>
      <c r="IVT11" s="13"/>
      <c r="IVV11" s="13"/>
      <c r="IVX11" s="13"/>
      <c r="IVZ11" s="13"/>
      <c r="IWB11" s="13"/>
      <c r="IWD11" s="13"/>
      <c r="IWF11" s="13"/>
      <c r="IWH11" s="13"/>
      <c r="IWJ11" s="13"/>
      <c r="IWL11" s="13"/>
      <c r="IWN11" s="13"/>
      <c r="IWP11" s="13"/>
      <c r="IWR11" s="13"/>
      <c r="IWT11" s="13"/>
      <c r="IWV11" s="13"/>
      <c r="IWX11" s="13"/>
      <c r="IWZ11" s="13"/>
      <c r="IXB11" s="13"/>
      <c r="IXD11" s="13"/>
      <c r="IXF11" s="13"/>
      <c r="IXH11" s="13"/>
      <c r="IXJ11" s="13"/>
      <c r="IXL11" s="13"/>
      <c r="IXN11" s="13"/>
      <c r="IXP11" s="13"/>
      <c r="IXR11" s="13"/>
      <c r="IXT11" s="13"/>
      <c r="IXV11" s="13"/>
      <c r="IXX11" s="13"/>
      <c r="IXZ11" s="13"/>
      <c r="IYB11" s="13"/>
      <c r="IYD11" s="13"/>
      <c r="IYF11" s="13"/>
      <c r="IYH11" s="13"/>
      <c r="IYJ11" s="13"/>
      <c r="IYL11" s="13"/>
      <c r="IYN11" s="13"/>
      <c r="IYP11" s="13"/>
      <c r="IYR11" s="13"/>
      <c r="IYT11" s="13"/>
      <c r="IYV11" s="13"/>
      <c r="IYX11" s="13"/>
      <c r="IYZ11" s="13"/>
      <c r="IZB11" s="13"/>
      <c r="IZD11" s="13"/>
      <c r="IZF11" s="13"/>
      <c r="IZH11" s="13"/>
      <c r="IZJ11" s="13"/>
      <c r="IZL11" s="13"/>
      <c r="IZN11" s="13"/>
      <c r="IZP11" s="13"/>
      <c r="IZR11" s="13"/>
      <c r="IZT11" s="13"/>
      <c r="IZV11" s="13"/>
      <c r="IZX11" s="13"/>
      <c r="IZZ11" s="13"/>
      <c r="JAB11" s="13"/>
      <c r="JAD11" s="13"/>
      <c r="JAF11" s="13"/>
      <c r="JAH11" s="13"/>
      <c r="JAJ11" s="13"/>
      <c r="JAL11" s="13"/>
      <c r="JAN11" s="13"/>
      <c r="JAP11" s="13"/>
      <c r="JAR11" s="13"/>
      <c r="JAT11" s="13"/>
      <c r="JAV11" s="13"/>
      <c r="JAX11" s="13"/>
      <c r="JAZ11" s="13"/>
      <c r="JBB11" s="13"/>
      <c r="JBD11" s="13"/>
      <c r="JBF11" s="13"/>
      <c r="JBH11" s="13"/>
      <c r="JBJ11" s="13"/>
      <c r="JBL11" s="13"/>
      <c r="JBN11" s="13"/>
      <c r="JBP11" s="13"/>
      <c r="JBR11" s="13"/>
      <c r="JBT11" s="13"/>
      <c r="JBV11" s="13"/>
      <c r="JBX11" s="13"/>
      <c r="JBZ11" s="13"/>
      <c r="JCB11" s="13"/>
      <c r="JCD11" s="13"/>
      <c r="JCF11" s="13"/>
      <c r="JCH11" s="13"/>
      <c r="JCJ11" s="13"/>
      <c r="JCL11" s="13"/>
      <c r="JCN11" s="13"/>
      <c r="JCP11" s="13"/>
      <c r="JCR11" s="13"/>
      <c r="JCT11" s="13"/>
      <c r="JCV11" s="13"/>
      <c r="JCX11" s="13"/>
      <c r="JCZ11" s="13"/>
      <c r="JDB11" s="13"/>
      <c r="JDD11" s="13"/>
      <c r="JDF11" s="13"/>
      <c r="JDH11" s="13"/>
      <c r="JDJ11" s="13"/>
      <c r="JDL11" s="13"/>
      <c r="JDN11" s="13"/>
      <c r="JDP11" s="13"/>
      <c r="JDR11" s="13"/>
      <c r="JDT11" s="13"/>
      <c r="JDV11" s="13"/>
      <c r="JDX11" s="13"/>
      <c r="JDZ11" s="13"/>
      <c r="JEB11" s="13"/>
      <c r="JED11" s="13"/>
      <c r="JEF11" s="13"/>
      <c r="JEH11" s="13"/>
      <c r="JEJ11" s="13"/>
      <c r="JEL11" s="13"/>
      <c r="JEN11" s="13"/>
      <c r="JEP11" s="13"/>
      <c r="JER11" s="13"/>
      <c r="JET11" s="13"/>
      <c r="JEV11" s="13"/>
      <c r="JEX11" s="13"/>
      <c r="JEZ11" s="13"/>
      <c r="JFB11" s="13"/>
      <c r="JFD11" s="13"/>
      <c r="JFF11" s="13"/>
      <c r="JFH11" s="13"/>
      <c r="JFJ11" s="13"/>
      <c r="JFL11" s="13"/>
      <c r="JFN11" s="13"/>
      <c r="JFP11" s="13"/>
      <c r="JFR11" s="13"/>
      <c r="JFT11" s="13"/>
      <c r="JFV11" s="13"/>
      <c r="JFX11" s="13"/>
      <c r="JFZ11" s="13"/>
      <c r="JGB11" s="13"/>
      <c r="JGD11" s="13"/>
      <c r="JGF11" s="13"/>
      <c r="JGH11" s="13"/>
      <c r="JGJ11" s="13"/>
      <c r="JGL11" s="13"/>
      <c r="JGN11" s="13"/>
      <c r="JGP11" s="13"/>
      <c r="JGR11" s="13"/>
      <c r="JGT11" s="13"/>
      <c r="JGV11" s="13"/>
      <c r="JGX11" s="13"/>
      <c r="JGZ11" s="13"/>
      <c r="JHB11" s="13"/>
      <c r="JHD11" s="13"/>
      <c r="JHF11" s="13"/>
      <c r="JHH11" s="13"/>
      <c r="JHJ11" s="13"/>
      <c r="JHL11" s="13"/>
      <c r="JHN11" s="13"/>
      <c r="JHP11" s="13"/>
      <c r="JHR11" s="13"/>
      <c r="JHT11" s="13"/>
      <c r="JHV11" s="13"/>
      <c r="JHX11" s="13"/>
      <c r="JHZ11" s="13"/>
      <c r="JIB11" s="13"/>
      <c r="JID11" s="13"/>
      <c r="JIF11" s="13"/>
      <c r="JIH11" s="13"/>
      <c r="JIJ11" s="13"/>
      <c r="JIL11" s="13"/>
      <c r="JIN11" s="13"/>
      <c r="JIP11" s="13"/>
      <c r="JIR11" s="13"/>
      <c r="JIT11" s="13"/>
      <c r="JIV11" s="13"/>
      <c r="JIX11" s="13"/>
      <c r="JIZ11" s="13"/>
      <c r="JJB11" s="13"/>
      <c r="JJD11" s="13"/>
      <c r="JJF11" s="13"/>
      <c r="JJH11" s="13"/>
      <c r="JJJ11" s="13"/>
      <c r="JJL11" s="13"/>
      <c r="JJN11" s="13"/>
      <c r="JJP11" s="13"/>
      <c r="JJR11" s="13"/>
      <c r="JJT11" s="13"/>
      <c r="JJV11" s="13"/>
      <c r="JJX11" s="13"/>
      <c r="JJZ11" s="13"/>
      <c r="JKB11" s="13"/>
      <c r="JKD11" s="13"/>
      <c r="JKF11" s="13"/>
      <c r="JKH11" s="13"/>
      <c r="JKJ11" s="13"/>
      <c r="JKL11" s="13"/>
      <c r="JKN11" s="13"/>
      <c r="JKP11" s="13"/>
      <c r="JKR11" s="13"/>
      <c r="JKT11" s="13"/>
      <c r="JKV11" s="13"/>
      <c r="JKX11" s="13"/>
      <c r="JKZ11" s="13"/>
      <c r="JLB11" s="13"/>
      <c r="JLD11" s="13"/>
      <c r="JLF11" s="13"/>
      <c r="JLH11" s="13"/>
      <c r="JLJ11" s="13"/>
      <c r="JLL11" s="13"/>
      <c r="JLN11" s="13"/>
      <c r="JLP11" s="13"/>
      <c r="JLR11" s="13"/>
      <c r="JLT11" s="13"/>
      <c r="JLV11" s="13"/>
      <c r="JLX11" s="13"/>
      <c r="JLZ11" s="13"/>
      <c r="JMB11" s="13"/>
      <c r="JMD11" s="13"/>
      <c r="JMF11" s="13"/>
      <c r="JMH11" s="13"/>
      <c r="JMJ11" s="13"/>
      <c r="JML11" s="13"/>
      <c r="JMN11" s="13"/>
      <c r="JMP11" s="13"/>
      <c r="JMR11" s="13"/>
      <c r="JMT11" s="13"/>
      <c r="JMV11" s="13"/>
      <c r="JMX11" s="13"/>
      <c r="JMZ11" s="13"/>
      <c r="JNB11" s="13"/>
      <c r="JND11" s="13"/>
      <c r="JNF11" s="13"/>
      <c r="JNH11" s="13"/>
      <c r="JNJ11" s="13"/>
      <c r="JNL11" s="13"/>
      <c r="JNN11" s="13"/>
      <c r="JNP11" s="13"/>
      <c r="JNR11" s="13"/>
      <c r="JNT11" s="13"/>
      <c r="JNV11" s="13"/>
      <c r="JNX11" s="13"/>
      <c r="JNZ11" s="13"/>
      <c r="JOB11" s="13"/>
      <c r="JOD11" s="13"/>
      <c r="JOF11" s="13"/>
      <c r="JOH11" s="13"/>
      <c r="JOJ11" s="13"/>
      <c r="JOL11" s="13"/>
      <c r="JON11" s="13"/>
      <c r="JOP11" s="13"/>
      <c r="JOR11" s="13"/>
      <c r="JOT11" s="13"/>
      <c r="JOV11" s="13"/>
      <c r="JOX11" s="13"/>
      <c r="JOZ11" s="13"/>
      <c r="JPB11" s="13"/>
      <c r="JPD11" s="13"/>
      <c r="JPF11" s="13"/>
      <c r="JPH11" s="13"/>
      <c r="JPJ11" s="13"/>
      <c r="JPL11" s="13"/>
      <c r="JPN11" s="13"/>
      <c r="JPP11" s="13"/>
      <c r="JPR11" s="13"/>
      <c r="JPT11" s="13"/>
      <c r="JPV11" s="13"/>
      <c r="JPX11" s="13"/>
      <c r="JPZ11" s="13"/>
      <c r="JQB11" s="13"/>
      <c r="JQD11" s="13"/>
      <c r="JQF11" s="13"/>
      <c r="JQH11" s="13"/>
      <c r="JQJ11" s="13"/>
      <c r="JQL11" s="13"/>
      <c r="JQN11" s="13"/>
      <c r="JQP11" s="13"/>
      <c r="JQR11" s="13"/>
      <c r="JQT11" s="13"/>
      <c r="JQV11" s="13"/>
      <c r="JQX11" s="13"/>
      <c r="JQZ11" s="13"/>
      <c r="JRB11" s="13"/>
      <c r="JRD11" s="13"/>
      <c r="JRF11" s="13"/>
      <c r="JRH11" s="13"/>
      <c r="JRJ11" s="13"/>
      <c r="JRL11" s="13"/>
      <c r="JRN11" s="13"/>
      <c r="JRP11" s="13"/>
      <c r="JRR11" s="13"/>
      <c r="JRT11" s="13"/>
      <c r="JRV11" s="13"/>
      <c r="JRX11" s="13"/>
      <c r="JRZ11" s="13"/>
      <c r="JSB11" s="13"/>
      <c r="JSD11" s="13"/>
      <c r="JSF11" s="13"/>
      <c r="JSH11" s="13"/>
      <c r="JSJ11" s="13"/>
      <c r="JSL11" s="13"/>
      <c r="JSN11" s="13"/>
      <c r="JSP11" s="13"/>
      <c r="JSR11" s="13"/>
      <c r="JST11" s="13"/>
      <c r="JSV11" s="13"/>
      <c r="JSX11" s="13"/>
      <c r="JSZ11" s="13"/>
      <c r="JTB11" s="13"/>
      <c r="JTD11" s="13"/>
      <c r="JTF11" s="13"/>
      <c r="JTH11" s="13"/>
      <c r="JTJ11" s="13"/>
      <c r="JTL11" s="13"/>
      <c r="JTN11" s="13"/>
      <c r="JTP11" s="13"/>
      <c r="JTR11" s="13"/>
      <c r="JTT11" s="13"/>
      <c r="JTV11" s="13"/>
      <c r="JTX11" s="13"/>
      <c r="JTZ11" s="13"/>
      <c r="JUB11" s="13"/>
      <c r="JUD11" s="13"/>
      <c r="JUF11" s="13"/>
      <c r="JUH11" s="13"/>
      <c r="JUJ11" s="13"/>
      <c r="JUL11" s="13"/>
      <c r="JUN11" s="13"/>
      <c r="JUP11" s="13"/>
      <c r="JUR11" s="13"/>
      <c r="JUT11" s="13"/>
      <c r="JUV11" s="13"/>
      <c r="JUX11" s="13"/>
      <c r="JUZ11" s="13"/>
      <c r="JVB11" s="13"/>
      <c r="JVD11" s="13"/>
      <c r="JVF11" s="13"/>
      <c r="JVH11" s="13"/>
      <c r="JVJ11" s="13"/>
      <c r="JVL11" s="13"/>
      <c r="JVN11" s="13"/>
      <c r="JVP11" s="13"/>
      <c r="JVR11" s="13"/>
      <c r="JVT11" s="13"/>
      <c r="JVV11" s="13"/>
      <c r="JVX11" s="13"/>
      <c r="JVZ11" s="13"/>
      <c r="JWB11" s="13"/>
      <c r="JWD11" s="13"/>
      <c r="JWF11" s="13"/>
      <c r="JWH11" s="13"/>
      <c r="JWJ11" s="13"/>
      <c r="JWL11" s="13"/>
      <c r="JWN11" s="13"/>
      <c r="JWP11" s="13"/>
      <c r="JWR11" s="13"/>
      <c r="JWT11" s="13"/>
      <c r="JWV11" s="13"/>
      <c r="JWX11" s="13"/>
      <c r="JWZ11" s="13"/>
      <c r="JXB11" s="13"/>
      <c r="JXD11" s="13"/>
      <c r="JXF11" s="13"/>
      <c r="JXH11" s="13"/>
      <c r="JXJ11" s="13"/>
      <c r="JXL11" s="13"/>
      <c r="JXN11" s="13"/>
      <c r="JXP11" s="13"/>
      <c r="JXR11" s="13"/>
      <c r="JXT11" s="13"/>
      <c r="JXV11" s="13"/>
      <c r="JXX11" s="13"/>
      <c r="JXZ11" s="13"/>
      <c r="JYB11" s="13"/>
      <c r="JYD11" s="13"/>
      <c r="JYF11" s="13"/>
      <c r="JYH11" s="13"/>
      <c r="JYJ11" s="13"/>
      <c r="JYL11" s="13"/>
      <c r="JYN11" s="13"/>
      <c r="JYP11" s="13"/>
      <c r="JYR11" s="13"/>
      <c r="JYT11" s="13"/>
      <c r="JYV11" s="13"/>
      <c r="JYX11" s="13"/>
      <c r="JYZ11" s="13"/>
      <c r="JZB11" s="13"/>
      <c r="JZD11" s="13"/>
      <c r="JZF11" s="13"/>
      <c r="JZH11" s="13"/>
      <c r="JZJ11" s="13"/>
      <c r="JZL11" s="13"/>
      <c r="JZN11" s="13"/>
      <c r="JZP11" s="13"/>
      <c r="JZR11" s="13"/>
      <c r="JZT11" s="13"/>
      <c r="JZV11" s="13"/>
      <c r="JZX11" s="13"/>
      <c r="JZZ11" s="13"/>
      <c r="KAB11" s="13"/>
      <c r="KAD11" s="13"/>
      <c r="KAF11" s="13"/>
      <c r="KAH11" s="13"/>
      <c r="KAJ11" s="13"/>
      <c r="KAL11" s="13"/>
      <c r="KAN11" s="13"/>
      <c r="KAP11" s="13"/>
      <c r="KAR11" s="13"/>
      <c r="KAT11" s="13"/>
      <c r="KAV11" s="13"/>
      <c r="KAX11" s="13"/>
      <c r="KAZ11" s="13"/>
      <c r="KBB11" s="13"/>
      <c r="KBD11" s="13"/>
      <c r="KBF11" s="13"/>
      <c r="KBH11" s="13"/>
      <c r="KBJ11" s="13"/>
      <c r="KBL11" s="13"/>
      <c r="KBN11" s="13"/>
      <c r="KBP11" s="13"/>
      <c r="KBR11" s="13"/>
      <c r="KBT11" s="13"/>
      <c r="KBV11" s="13"/>
      <c r="KBX11" s="13"/>
      <c r="KBZ11" s="13"/>
      <c r="KCB11" s="13"/>
      <c r="KCD11" s="13"/>
      <c r="KCF11" s="13"/>
      <c r="KCH11" s="13"/>
      <c r="KCJ11" s="13"/>
      <c r="KCL11" s="13"/>
      <c r="KCN11" s="13"/>
      <c r="KCP11" s="13"/>
      <c r="KCR11" s="13"/>
      <c r="KCT11" s="13"/>
      <c r="KCV11" s="13"/>
      <c r="KCX11" s="13"/>
      <c r="KCZ11" s="13"/>
      <c r="KDB11" s="13"/>
      <c r="KDD11" s="13"/>
      <c r="KDF11" s="13"/>
      <c r="KDH11" s="13"/>
      <c r="KDJ11" s="13"/>
      <c r="KDL11" s="13"/>
      <c r="KDN11" s="13"/>
      <c r="KDP11" s="13"/>
      <c r="KDR11" s="13"/>
      <c r="KDT11" s="13"/>
      <c r="KDV11" s="13"/>
      <c r="KDX11" s="13"/>
      <c r="KDZ11" s="13"/>
      <c r="KEB11" s="13"/>
      <c r="KED11" s="13"/>
      <c r="KEF11" s="13"/>
      <c r="KEH11" s="13"/>
      <c r="KEJ11" s="13"/>
      <c r="KEL11" s="13"/>
      <c r="KEN11" s="13"/>
      <c r="KEP11" s="13"/>
      <c r="KER11" s="13"/>
      <c r="KET11" s="13"/>
      <c r="KEV11" s="13"/>
      <c r="KEX11" s="13"/>
      <c r="KEZ11" s="13"/>
      <c r="KFB11" s="13"/>
      <c r="KFD11" s="13"/>
      <c r="KFF11" s="13"/>
      <c r="KFH11" s="13"/>
      <c r="KFJ11" s="13"/>
      <c r="KFL11" s="13"/>
      <c r="KFN11" s="13"/>
      <c r="KFP11" s="13"/>
      <c r="KFR11" s="13"/>
      <c r="KFT11" s="13"/>
      <c r="KFV11" s="13"/>
      <c r="KFX11" s="13"/>
      <c r="KFZ11" s="13"/>
      <c r="KGB11" s="13"/>
      <c r="KGD11" s="13"/>
      <c r="KGF11" s="13"/>
      <c r="KGH11" s="13"/>
      <c r="KGJ11" s="13"/>
      <c r="KGL11" s="13"/>
      <c r="KGN11" s="13"/>
      <c r="KGP11" s="13"/>
      <c r="KGR11" s="13"/>
      <c r="KGT11" s="13"/>
      <c r="KGV11" s="13"/>
      <c r="KGX11" s="13"/>
      <c r="KGZ11" s="13"/>
      <c r="KHB11" s="13"/>
      <c r="KHD11" s="13"/>
      <c r="KHF11" s="13"/>
      <c r="KHH11" s="13"/>
      <c r="KHJ11" s="13"/>
      <c r="KHL11" s="13"/>
      <c r="KHN11" s="13"/>
      <c r="KHP11" s="13"/>
      <c r="KHR11" s="13"/>
      <c r="KHT11" s="13"/>
      <c r="KHV11" s="13"/>
      <c r="KHX11" s="13"/>
      <c r="KHZ11" s="13"/>
      <c r="KIB11" s="13"/>
      <c r="KID11" s="13"/>
      <c r="KIF11" s="13"/>
      <c r="KIH11" s="13"/>
      <c r="KIJ11" s="13"/>
      <c r="KIL11" s="13"/>
      <c r="KIN11" s="13"/>
      <c r="KIP11" s="13"/>
      <c r="KIR11" s="13"/>
      <c r="KIT11" s="13"/>
      <c r="KIV11" s="13"/>
      <c r="KIX11" s="13"/>
      <c r="KIZ11" s="13"/>
      <c r="KJB11" s="13"/>
      <c r="KJD11" s="13"/>
      <c r="KJF11" s="13"/>
      <c r="KJH11" s="13"/>
      <c r="KJJ11" s="13"/>
      <c r="KJL11" s="13"/>
      <c r="KJN11" s="13"/>
      <c r="KJP11" s="13"/>
      <c r="KJR11" s="13"/>
      <c r="KJT11" s="13"/>
      <c r="KJV11" s="13"/>
      <c r="KJX11" s="13"/>
      <c r="KJZ11" s="13"/>
      <c r="KKB11" s="13"/>
      <c r="KKD11" s="13"/>
      <c r="KKF11" s="13"/>
      <c r="KKH11" s="13"/>
      <c r="KKJ11" s="13"/>
      <c r="KKL11" s="13"/>
      <c r="KKN11" s="13"/>
      <c r="KKP11" s="13"/>
      <c r="KKR11" s="13"/>
      <c r="KKT11" s="13"/>
      <c r="KKV11" s="13"/>
      <c r="KKX11" s="13"/>
      <c r="KKZ11" s="13"/>
      <c r="KLB11" s="13"/>
      <c r="KLD11" s="13"/>
      <c r="KLF11" s="13"/>
      <c r="KLH11" s="13"/>
      <c r="KLJ11" s="13"/>
      <c r="KLL11" s="13"/>
      <c r="KLN11" s="13"/>
      <c r="KLP11" s="13"/>
      <c r="KLR11" s="13"/>
      <c r="KLT11" s="13"/>
      <c r="KLV11" s="13"/>
      <c r="KLX11" s="13"/>
      <c r="KLZ11" s="13"/>
      <c r="KMB11" s="13"/>
      <c r="KMD11" s="13"/>
      <c r="KMF11" s="13"/>
      <c r="KMH11" s="13"/>
      <c r="KMJ11" s="13"/>
      <c r="KML11" s="13"/>
      <c r="KMN11" s="13"/>
      <c r="KMP11" s="13"/>
      <c r="KMR11" s="13"/>
      <c r="KMT11" s="13"/>
      <c r="KMV11" s="13"/>
      <c r="KMX11" s="13"/>
      <c r="KMZ11" s="13"/>
      <c r="KNB11" s="13"/>
      <c r="KND11" s="13"/>
      <c r="KNF11" s="13"/>
      <c r="KNH11" s="13"/>
      <c r="KNJ11" s="13"/>
      <c r="KNL11" s="13"/>
      <c r="KNN11" s="13"/>
      <c r="KNP11" s="13"/>
      <c r="KNR11" s="13"/>
      <c r="KNT11" s="13"/>
      <c r="KNV11" s="13"/>
      <c r="KNX11" s="13"/>
      <c r="KNZ11" s="13"/>
      <c r="KOB11" s="13"/>
      <c r="KOD11" s="13"/>
      <c r="KOF11" s="13"/>
      <c r="KOH11" s="13"/>
      <c r="KOJ11" s="13"/>
      <c r="KOL11" s="13"/>
      <c r="KON11" s="13"/>
      <c r="KOP11" s="13"/>
      <c r="KOR11" s="13"/>
      <c r="KOT11" s="13"/>
      <c r="KOV11" s="13"/>
      <c r="KOX11" s="13"/>
      <c r="KOZ11" s="13"/>
      <c r="KPB11" s="13"/>
      <c r="KPD11" s="13"/>
      <c r="KPF11" s="13"/>
      <c r="KPH11" s="13"/>
      <c r="KPJ11" s="13"/>
      <c r="KPL11" s="13"/>
      <c r="KPN11" s="13"/>
      <c r="KPP11" s="13"/>
      <c r="KPR11" s="13"/>
      <c r="KPT11" s="13"/>
      <c r="KPV11" s="13"/>
      <c r="KPX11" s="13"/>
      <c r="KPZ11" s="13"/>
      <c r="KQB11" s="13"/>
      <c r="KQD11" s="13"/>
      <c r="KQF11" s="13"/>
      <c r="KQH11" s="13"/>
      <c r="KQJ11" s="13"/>
      <c r="KQL11" s="13"/>
      <c r="KQN11" s="13"/>
      <c r="KQP11" s="13"/>
      <c r="KQR11" s="13"/>
      <c r="KQT11" s="13"/>
      <c r="KQV11" s="13"/>
      <c r="KQX11" s="13"/>
      <c r="KQZ11" s="13"/>
      <c r="KRB11" s="13"/>
      <c r="KRD11" s="13"/>
      <c r="KRF11" s="13"/>
      <c r="KRH11" s="13"/>
      <c r="KRJ11" s="13"/>
      <c r="KRL11" s="13"/>
      <c r="KRN11" s="13"/>
      <c r="KRP11" s="13"/>
      <c r="KRR11" s="13"/>
      <c r="KRT11" s="13"/>
      <c r="KRV11" s="13"/>
      <c r="KRX11" s="13"/>
      <c r="KRZ11" s="13"/>
      <c r="KSB11" s="13"/>
      <c r="KSD11" s="13"/>
      <c r="KSF11" s="13"/>
      <c r="KSH11" s="13"/>
      <c r="KSJ11" s="13"/>
      <c r="KSL11" s="13"/>
      <c r="KSN11" s="13"/>
      <c r="KSP11" s="13"/>
      <c r="KSR11" s="13"/>
      <c r="KST11" s="13"/>
      <c r="KSV11" s="13"/>
      <c r="KSX11" s="13"/>
      <c r="KSZ11" s="13"/>
      <c r="KTB11" s="13"/>
      <c r="KTD11" s="13"/>
      <c r="KTF11" s="13"/>
      <c r="KTH11" s="13"/>
      <c r="KTJ11" s="13"/>
      <c r="KTL11" s="13"/>
      <c r="KTN11" s="13"/>
      <c r="KTP11" s="13"/>
      <c r="KTR11" s="13"/>
      <c r="KTT11" s="13"/>
      <c r="KTV11" s="13"/>
      <c r="KTX11" s="13"/>
      <c r="KTZ11" s="13"/>
      <c r="KUB11" s="13"/>
      <c r="KUD11" s="13"/>
      <c r="KUF11" s="13"/>
      <c r="KUH11" s="13"/>
      <c r="KUJ11" s="13"/>
      <c r="KUL11" s="13"/>
      <c r="KUN11" s="13"/>
      <c r="KUP11" s="13"/>
      <c r="KUR11" s="13"/>
      <c r="KUT11" s="13"/>
      <c r="KUV11" s="13"/>
      <c r="KUX11" s="13"/>
      <c r="KUZ11" s="13"/>
      <c r="KVB11" s="13"/>
      <c r="KVD11" s="13"/>
      <c r="KVF11" s="13"/>
      <c r="KVH11" s="13"/>
      <c r="KVJ11" s="13"/>
      <c r="KVL11" s="13"/>
      <c r="KVN11" s="13"/>
      <c r="KVP11" s="13"/>
      <c r="KVR11" s="13"/>
      <c r="KVT11" s="13"/>
      <c r="KVV11" s="13"/>
      <c r="KVX11" s="13"/>
      <c r="KVZ11" s="13"/>
      <c r="KWB11" s="13"/>
      <c r="KWD11" s="13"/>
      <c r="KWF11" s="13"/>
      <c r="KWH11" s="13"/>
      <c r="KWJ11" s="13"/>
      <c r="KWL11" s="13"/>
      <c r="KWN11" s="13"/>
      <c r="KWP11" s="13"/>
      <c r="KWR11" s="13"/>
      <c r="KWT11" s="13"/>
      <c r="KWV11" s="13"/>
      <c r="KWX11" s="13"/>
      <c r="KWZ11" s="13"/>
      <c r="KXB11" s="13"/>
      <c r="KXD11" s="13"/>
      <c r="KXF11" s="13"/>
      <c r="KXH11" s="13"/>
      <c r="KXJ11" s="13"/>
      <c r="KXL11" s="13"/>
      <c r="KXN11" s="13"/>
      <c r="KXP11" s="13"/>
      <c r="KXR11" s="13"/>
      <c r="KXT11" s="13"/>
      <c r="KXV11" s="13"/>
      <c r="KXX11" s="13"/>
      <c r="KXZ11" s="13"/>
      <c r="KYB11" s="13"/>
      <c r="KYD11" s="13"/>
      <c r="KYF11" s="13"/>
      <c r="KYH11" s="13"/>
      <c r="KYJ11" s="13"/>
      <c r="KYL11" s="13"/>
      <c r="KYN11" s="13"/>
      <c r="KYP11" s="13"/>
      <c r="KYR11" s="13"/>
      <c r="KYT11" s="13"/>
      <c r="KYV11" s="13"/>
      <c r="KYX11" s="13"/>
      <c r="KYZ11" s="13"/>
      <c r="KZB11" s="13"/>
      <c r="KZD11" s="13"/>
      <c r="KZF11" s="13"/>
      <c r="KZH11" s="13"/>
      <c r="KZJ11" s="13"/>
      <c r="KZL11" s="13"/>
      <c r="KZN11" s="13"/>
      <c r="KZP11" s="13"/>
      <c r="KZR11" s="13"/>
      <c r="KZT11" s="13"/>
      <c r="KZV11" s="13"/>
      <c r="KZX11" s="13"/>
      <c r="KZZ11" s="13"/>
      <c r="LAB11" s="13"/>
      <c r="LAD11" s="13"/>
      <c r="LAF11" s="13"/>
      <c r="LAH11" s="13"/>
      <c r="LAJ11" s="13"/>
      <c r="LAL11" s="13"/>
      <c r="LAN11" s="13"/>
      <c r="LAP11" s="13"/>
      <c r="LAR11" s="13"/>
      <c r="LAT11" s="13"/>
      <c r="LAV11" s="13"/>
      <c r="LAX11" s="13"/>
      <c r="LAZ11" s="13"/>
      <c r="LBB11" s="13"/>
      <c r="LBD11" s="13"/>
      <c r="LBF11" s="13"/>
      <c r="LBH11" s="13"/>
      <c r="LBJ11" s="13"/>
      <c r="LBL11" s="13"/>
      <c r="LBN11" s="13"/>
      <c r="LBP11" s="13"/>
      <c r="LBR11" s="13"/>
      <c r="LBT11" s="13"/>
      <c r="LBV11" s="13"/>
      <c r="LBX11" s="13"/>
      <c r="LBZ11" s="13"/>
      <c r="LCB11" s="13"/>
      <c r="LCD11" s="13"/>
      <c r="LCF11" s="13"/>
      <c r="LCH11" s="13"/>
      <c r="LCJ11" s="13"/>
      <c r="LCL11" s="13"/>
      <c r="LCN11" s="13"/>
      <c r="LCP11" s="13"/>
      <c r="LCR11" s="13"/>
      <c r="LCT11" s="13"/>
      <c r="LCV11" s="13"/>
      <c r="LCX11" s="13"/>
      <c r="LCZ11" s="13"/>
      <c r="LDB11" s="13"/>
      <c r="LDD11" s="13"/>
      <c r="LDF11" s="13"/>
      <c r="LDH11" s="13"/>
      <c r="LDJ11" s="13"/>
      <c r="LDL11" s="13"/>
      <c r="LDN11" s="13"/>
      <c r="LDP11" s="13"/>
      <c r="LDR11" s="13"/>
      <c r="LDT11" s="13"/>
      <c r="LDV11" s="13"/>
      <c r="LDX11" s="13"/>
      <c r="LDZ11" s="13"/>
      <c r="LEB11" s="13"/>
      <c r="LED11" s="13"/>
      <c r="LEF11" s="13"/>
      <c r="LEH11" s="13"/>
      <c r="LEJ11" s="13"/>
      <c r="LEL11" s="13"/>
      <c r="LEN11" s="13"/>
      <c r="LEP11" s="13"/>
      <c r="LER11" s="13"/>
      <c r="LET11" s="13"/>
      <c r="LEV11" s="13"/>
      <c r="LEX11" s="13"/>
      <c r="LEZ11" s="13"/>
      <c r="LFB11" s="13"/>
      <c r="LFD11" s="13"/>
      <c r="LFF11" s="13"/>
      <c r="LFH11" s="13"/>
      <c r="LFJ11" s="13"/>
      <c r="LFL11" s="13"/>
      <c r="LFN11" s="13"/>
      <c r="LFP11" s="13"/>
      <c r="LFR11" s="13"/>
      <c r="LFT11" s="13"/>
      <c r="LFV11" s="13"/>
      <c r="LFX11" s="13"/>
      <c r="LFZ11" s="13"/>
      <c r="LGB11" s="13"/>
      <c r="LGD11" s="13"/>
      <c r="LGF11" s="13"/>
      <c r="LGH11" s="13"/>
      <c r="LGJ11" s="13"/>
      <c r="LGL11" s="13"/>
      <c r="LGN11" s="13"/>
      <c r="LGP11" s="13"/>
      <c r="LGR11" s="13"/>
      <c r="LGT11" s="13"/>
      <c r="LGV11" s="13"/>
      <c r="LGX11" s="13"/>
      <c r="LGZ11" s="13"/>
      <c r="LHB11" s="13"/>
      <c r="LHD11" s="13"/>
      <c r="LHF11" s="13"/>
      <c r="LHH11" s="13"/>
      <c r="LHJ11" s="13"/>
      <c r="LHL11" s="13"/>
      <c r="LHN11" s="13"/>
      <c r="LHP11" s="13"/>
      <c r="LHR11" s="13"/>
      <c r="LHT11" s="13"/>
      <c r="LHV11" s="13"/>
      <c r="LHX11" s="13"/>
      <c r="LHZ11" s="13"/>
      <c r="LIB11" s="13"/>
      <c r="LID11" s="13"/>
      <c r="LIF11" s="13"/>
      <c r="LIH11" s="13"/>
      <c r="LIJ11" s="13"/>
      <c r="LIL11" s="13"/>
      <c r="LIN11" s="13"/>
      <c r="LIP11" s="13"/>
      <c r="LIR11" s="13"/>
      <c r="LIT11" s="13"/>
      <c r="LIV11" s="13"/>
      <c r="LIX11" s="13"/>
      <c r="LIZ11" s="13"/>
      <c r="LJB11" s="13"/>
      <c r="LJD11" s="13"/>
      <c r="LJF11" s="13"/>
      <c r="LJH11" s="13"/>
      <c r="LJJ11" s="13"/>
      <c r="LJL11" s="13"/>
      <c r="LJN11" s="13"/>
      <c r="LJP11" s="13"/>
      <c r="LJR11" s="13"/>
      <c r="LJT11" s="13"/>
      <c r="LJV11" s="13"/>
      <c r="LJX11" s="13"/>
      <c r="LJZ11" s="13"/>
      <c r="LKB11" s="13"/>
      <c r="LKD11" s="13"/>
      <c r="LKF11" s="13"/>
      <c r="LKH11" s="13"/>
      <c r="LKJ11" s="13"/>
      <c r="LKL11" s="13"/>
      <c r="LKN11" s="13"/>
      <c r="LKP11" s="13"/>
      <c r="LKR11" s="13"/>
      <c r="LKT11" s="13"/>
      <c r="LKV11" s="13"/>
      <c r="LKX11" s="13"/>
      <c r="LKZ11" s="13"/>
      <c r="LLB11" s="13"/>
      <c r="LLD11" s="13"/>
      <c r="LLF11" s="13"/>
      <c r="LLH11" s="13"/>
      <c r="LLJ11" s="13"/>
      <c r="LLL11" s="13"/>
      <c r="LLN11" s="13"/>
      <c r="LLP11" s="13"/>
      <c r="LLR11" s="13"/>
      <c r="LLT11" s="13"/>
      <c r="LLV11" s="13"/>
      <c r="LLX11" s="13"/>
      <c r="LLZ11" s="13"/>
      <c r="LMB11" s="13"/>
      <c r="LMD11" s="13"/>
      <c r="LMF11" s="13"/>
      <c r="LMH11" s="13"/>
      <c r="LMJ11" s="13"/>
      <c r="LML11" s="13"/>
      <c r="LMN11" s="13"/>
      <c r="LMP11" s="13"/>
      <c r="LMR11" s="13"/>
      <c r="LMT11" s="13"/>
      <c r="LMV11" s="13"/>
      <c r="LMX11" s="13"/>
      <c r="LMZ11" s="13"/>
      <c r="LNB11" s="13"/>
      <c r="LND11" s="13"/>
      <c r="LNF11" s="13"/>
      <c r="LNH11" s="13"/>
      <c r="LNJ11" s="13"/>
      <c r="LNL11" s="13"/>
      <c r="LNN11" s="13"/>
      <c r="LNP11" s="13"/>
      <c r="LNR11" s="13"/>
      <c r="LNT11" s="13"/>
      <c r="LNV11" s="13"/>
      <c r="LNX11" s="13"/>
      <c r="LNZ11" s="13"/>
      <c r="LOB11" s="13"/>
      <c r="LOD11" s="13"/>
      <c r="LOF11" s="13"/>
      <c r="LOH11" s="13"/>
      <c r="LOJ11" s="13"/>
      <c r="LOL11" s="13"/>
      <c r="LON11" s="13"/>
      <c r="LOP11" s="13"/>
      <c r="LOR11" s="13"/>
      <c r="LOT11" s="13"/>
      <c r="LOV11" s="13"/>
      <c r="LOX11" s="13"/>
      <c r="LOZ11" s="13"/>
      <c r="LPB11" s="13"/>
      <c r="LPD11" s="13"/>
      <c r="LPF11" s="13"/>
      <c r="LPH11" s="13"/>
      <c r="LPJ11" s="13"/>
      <c r="LPL11" s="13"/>
      <c r="LPN11" s="13"/>
      <c r="LPP11" s="13"/>
      <c r="LPR11" s="13"/>
      <c r="LPT11" s="13"/>
      <c r="LPV11" s="13"/>
      <c r="LPX11" s="13"/>
      <c r="LPZ11" s="13"/>
      <c r="LQB11" s="13"/>
      <c r="LQD11" s="13"/>
      <c r="LQF11" s="13"/>
      <c r="LQH11" s="13"/>
      <c r="LQJ11" s="13"/>
      <c r="LQL11" s="13"/>
      <c r="LQN11" s="13"/>
      <c r="LQP11" s="13"/>
      <c r="LQR11" s="13"/>
      <c r="LQT11" s="13"/>
      <c r="LQV11" s="13"/>
      <c r="LQX11" s="13"/>
      <c r="LQZ11" s="13"/>
      <c r="LRB11" s="13"/>
      <c r="LRD11" s="13"/>
      <c r="LRF11" s="13"/>
      <c r="LRH11" s="13"/>
      <c r="LRJ11" s="13"/>
      <c r="LRL11" s="13"/>
      <c r="LRN11" s="13"/>
      <c r="LRP11" s="13"/>
      <c r="LRR11" s="13"/>
      <c r="LRT11" s="13"/>
      <c r="LRV11" s="13"/>
      <c r="LRX11" s="13"/>
      <c r="LRZ11" s="13"/>
      <c r="LSB11" s="13"/>
      <c r="LSD11" s="13"/>
      <c r="LSF11" s="13"/>
      <c r="LSH11" s="13"/>
      <c r="LSJ11" s="13"/>
      <c r="LSL11" s="13"/>
      <c r="LSN11" s="13"/>
      <c r="LSP11" s="13"/>
      <c r="LSR11" s="13"/>
      <c r="LST11" s="13"/>
      <c r="LSV11" s="13"/>
      <c r="LSX11" s="13"/>
      <c r="LSZ11" s="13"/>
      <c r="LTB11" s="13"/>
      <c r="LTD11" s="13"/>
      <c r="LTF11" s="13"/>
      <c r="LTH11" s="13"/>
      <c r="LTJ11" s="13"/>
      <c r="LTL11" s="13"/>
      <c r="LTN11" s="13"/>
      <c r="LTP11" s="13"/>
      <c r="LTR11" s="13"/>
      <c r="LTT11" s="13"/>
      <c r="LTV11" s="13"/>
      <c r="LTX11" s="13"/>
      <c r="LTZ11" s="13"/>
      <c r="LUB11" s="13"/>
      <c r="LUD11" s="13"/>
      <c r="LUF11" s="13"/>
      <c r="LUH11" s="13"/>
      <c r="LUJ11" s="13"/>
      <c r="LUL11" s="13"/>
      <c r="LUN11" s="13"/>
      <c r="LUP11" s="13"/>
      <c r="LUR11" s="13"/>
      <c r="LUT11" s="13"/>
      <c r="LUV11" s="13"/>
      <c r="LUX11" s="13"/>
      <c r="LUZ11" s="13"/>
      <c r="LVB11" s="13"/>
      <c r="LVD11" s="13"/>
      <c r="LVF11" s="13"/>
      <c r="LVH11" s="13"/>
      <c r="LVJ11" s="13"/>
      <c r="LVL11" s="13"/>
      <c r="LVN11" s="13"/>
      <c r="LVP11" s="13"/>
      <c r="LVR11" s="13"/>
      <c r="LVT11" s="13"/>
      <c r="LVV11" s="13"/>
      <c r="LVX11" s="13"/>
      <c r="LVZ11" s="13"/>
      <c r="LWB11" s="13"/>
      <c r="LWD11" s="13"/>
      <c r="LWF11" s="13"/>
      <c r="LWH11" s="13"/>
      <c r="LWJ11" s="13"/>
      <c r="LWL11" s="13"/>
      <c r="LWN11" s="13"/>
      <c r="LWP11" s="13"/>
      <c r="LWR11" s="13"/>
      <c r="LWT11" s="13"/>
      <c r="LWV11" s="13"/>
      <c r="LWX11" s="13"/>
      <c r="LWZ11" s="13"/>
      <c r="LXB11" s="13"/>
      <c r="LXD11" s="13"/>
      <c r="LXF11" s="13"/>
      <c r="LXH11" s="13"/>
      <c r="LXJ11" s="13"/>
      <c r="LXL11" s="13"/>
      <c r="LXN11" s="13"/>
      <c r="LXP11" s="13"/>
      <c r="LXR11" s="13"/>
      <c r="LXT11" s="13"/>
      <c r="LXV11" s="13"/>
      <c r="LXX11" s="13"/>
      <c r="LXZ11" s="13"/>
      <c r="LYB11" s="13"/>
      <c r="LYD11" s="13"/>
      <c r="LYF11" s="13"/>
      <c r="LYH11" s="13"/>
      <c r="LYJ11" s="13"/>
      <c r="LYL11" s="13"/>
      <c r="LYN11" s="13"/>
      <c r="LYP11" s="13"/>
      <c r="LYR11" s="13"/>
      <c r="LYT11" s="13"/>
      <c r="LYV11" s="13"/>
      <c r="LYX11" s="13"/>
      <c r="LYZ11" s="13"/>
      <c r="LZB11" s="13"/>
      <c r="LZD11" s="13"/>
      <c r="LZF11" s="13"/>
      <c r="LZH11" s="13"/>
      <c r="LZJ11" s="13"/>
      <c r="LZL11" s="13"/>
      <c r="LZN11" s="13"/>
      <c r="LZP11" s="13"/>
      <c r="LZR11" s="13"/>
      <c r="LZT11" s="13"/>
      <c r="LZV11" s="13"/>
      <c r="LZX11" s="13"/>
      <c r="LZZ11" s="13"/>
      <c r="MAB11" s="13"/>
      <c r="MAD11" s="13"/>
      <c r="MAF11" s="13"/>
      <c r="MAH11" s="13"/>
      <c r="MAJ11" s="13"/>
      <c r="MAL11" s="13"/>
      <c r="MAN11" s="13"/>
      <c r="MAP11" s="13"/>
      <c r="MAR11" s="13"/>
      <c r="MAT11" s="13"/>
      <c r="MAV11" s="13"/>
      <c r="MAX11" s="13"/>
      <c r="MAZ11" s="13"/>
      <c r="MBB11" s="13"/>
      <c r="MBD11" s="13"/>
      <c r="MBF11" s="13"/>
      <c r="MBH11" s="13"/>
      <c r="MBJ11" s="13"/>
      <c r="MBL11" s="13"/>
      <c r="MBN11" s="13"/>
      <c r="MBP11" s="13"/>
      <c r="MBR11" s="13"/>
      <c r="MBT11" s="13"/>
      <c r="MBV11" s="13"/>
      <c r="MBX11" s="13"/>
      <c r="MBZ11" s="13"/>
      <c r="MCB11" s="13"/>
      <c r="MCD11" s="13"/>
      <c r="MCF11" s="13"/>
      <c r="MCH11" s="13"/>
      <c r="MCJ11" s="13"/>
      <c r="MCL11" s="13"/>
      <c r="MCN11" s="13"/>
      <c r="MCP11" s="13"/>
      <c r="MCR11" s="13"/>
      <c r="MCT11" s="13"/>
      <c r="MCV11" s="13"/>
      <c r="MCX11" s="13"/>
      <c r="MCZ11" s="13"/>
      <c r="MDB11" s="13"/>
      <c r="MDD11" s="13"/>
      <c r="MDF11" s="13"/>
      <c r="MDH11" s="13"/>
      <c r="MDJ11" s="13"/>
      <c r="MDL11" s="13"/>
      <c r="MDN11" s="13"/>
      <c r="MDP11" s="13"/>
      <c r="MDR11" s="13"/>
      <c r="MDT11" s="13"/>
      <c r="MDV11" s="13"/>
      <c r="MDX11" s="13"/>
      <c r="MDZ11" s="13"/>
      <c r="MEB11" s="13"/>
      <c r="MED11" s="13"/>
      <c r="MEF11" s="13"/>
      <c r="MEH11" s="13"/>
      <c r="MEJ11" s="13"/>
      <c r="MEL11" s="13"/>
      <c r="MEN11" s="13"/>
      <c r="MEP11" s="13"/>
      <c r="MER11" s="13"/>
      <c r="MET11" s="13"/>
      <c r="MEV11" s="13"/>
      <c r="MEX11" s="13"/>
      <c r="MEZ11" s="13"/>
      <c r="MFB11" s="13"/>
      <c r="MFD11" s="13"/>
      <c r="MFF11" s="13"/>
      <c r="MFH11" s="13"/>
      <c r="MFJ11" s="13"/>
      <c r="MFL11" s="13"/>
      <c r="MFN11" s="13"/>
      <c r="MFP11" s="13"/>
      <c r="MFR11" s="13"/>
      <c r="MFT11" s="13"/>
      <c r="MFV11" s="13"/>
      <c r="MFX11" s="13"/>
      <c r="MFZ11" s="13"/>
      <c r="MGB11" s="13"/>
      <c r="MGD11" s="13"/>
      <c r="MGF11" s="13"/>
      <c r="MGH11" s="13"/>
      <c r="MGJ11" s="13"/>
      <c r="MGL11" s="13"/>
      <c r="MGN11" s="13"/>
      <c r="MGP11" s="13"/>
      <c r="MGR11" s="13"/>
      <c r="MGT11" s="13"/>
      <c r="MGV11" s="13"/>
      <c r="MGX11" s="13"/>
      <c r="MGZ11" s="13"/>
      <c r="MHB11" s="13"/>
      <c r="MHD11" s="13"/>
      <c r="MHF11" s="13"/>
      <c r="MHH11" s="13"/>
      <c r="MHJ11" s="13"/>
      <c r="MHL11" s="13"/>
      <c r="MHN11" s="13"/>
      <c r="MHP11" s="13"/>
      <c r="MHR11" s="13"/>
      <c r="MHT11" s="13"/>
      <c r="MHV11" s="13"/>
      <c r="MHX11" s="13"/>
      <c r="MHZ11" s="13"/>
      <c r="MIB11" s="13"/>
      <c r="MID11" s="13"/>
      <c r="MIF11" s="13"/>
      <c r="MIH11" s="13"/>
      <c r="MIJ11" s="13"/>
      <c r="MIL11" s="13"/>
      <c r="MIN11" s="13"/>
      <c r="MIP11" s="13"/>
      <c r="MIR11" s="13"/>
      <c r="MIT11" s="13"/>
      <c r="MIV11" s="13"/>
      <c r="MIX11" s="13"/>
      <c r="MIZ11" s="13"/>
      <c r="MJB11" s="13"/>
      <c r="MJD11" s="13"/>
      <c r="MJF11" s="13"/>
      <c r="MJH11" s="13"/>
      <c r="MJJ11" s="13"/>
      <c r="MJL11" s="13"/>
      <c r="MJN11" s="13"/>
      <c r="MJP11" s="13"/>
      <c r="MJR11" s="13"/>
      <c r="MJT11" s="13"/>
      <c r="MJV11" s="13"/>
      <c r="MJX11" s="13"/>
      <c r="MJZ11" s="13"/>
      <c r="MKB11" s="13"/>
      <c r="MKD11" s="13"/>
      <c r="MKF11" s="13"/>
      <c r="MKH11" s="13"/>
      <c r="MKJ11" s="13"/>
      <c r="MKL11" s="13"/>
      <c r="MKN11" s="13"/>
      <c r="MKP11" s="13"/>
      <c r="MKR11" s="13"/>
      <c r="MKT11" s="13"/>
      <c r="MKV11" s="13"/>
      <c r="MKX11" s="13"/>
      <c r="MKZ11" s="13"/>
      <c r="MLB11" s="13"/>
      <c r="MLD11" s="13"/>
      <c r="MLF11" s="13"/>
      <c r="MLH11" s="13"/>
      <c r="MLJ11" s="13"/>
      <c r="MLL11" s="13"/>
      <c r="MLN11" s="13"/>
      <c r="MLP11" s="13"/>
      <c r="MLR11" s="13"/>
      <c r="MLT11" s="13"/>
      <c r="MLV11" s="13"/>
      <c r="MLX11" s="13"/>
      <c r="MLZ11" s="13"/>
      <c r="MMB11" s="13"/>
      <c r="MMD11" s="13"/>
      <c r="MMF11" s="13"/>
      <c r="MMH11" s="13"/>
      <c r="MMJ11" s="13"/>
      <c r="MML11" s="13"/>
      <c r="MMN11" s="13"/>
      <c r="MMP11" s="13"/>
      <c r="MMR11" s="13"/>
      <c r="MMT11" s="13"/>
      <c r="MMV11" s="13"/>
      <c r="MMX11" s="13"/>
      <c r="MMZ11" s="13"/>
      <c r="MNB11" s="13"/>
      <c r="MND11" s="13"/>
      <c r="MNF11" s="13"/>
      <c r="MNH11" s="13"/>
      <c r="MNJ11" s="13"/>
      <c r="MNL11" s="13"/>
      <c r="MNN11" s="13"/>
      <c r="MNP11" s="13"/>
      <c r="MNR11" s="13"/>
      <c r="MNT11" s="13"/>
      <c r="MNV11" s="13"/>
      <c r="MNX11" s="13"/>
      <c r="MNZ11" s="13"/>
      <c r="MOB11" s="13"/>
      <c r="MOD11" s="13"/>
      <c r="MOF11" s="13"/>
      <c r="MOH11" s="13"/>
      <c r="MOJ11" s="13"/>
      <c r="MOL11" s="13"/>
      <c r="MON11" s="13"/>
      <c r="MOP11" s="13"/>
      <c r="MOR11" s="13"/>
      <c r="MOT11" s="13"/>
      <c r="MOV11" s="13"/>
      <c r="MOX11" s="13"/>
      <c r="MOZ11" s="13"/>
      <c r="MPB11" s="13"/>
      <c r="MPD11" s="13"/>
      <c r="MPF11" s="13"/>
      <c r="MPH11" s="13"/>
      <c r="MPJ11" s="13"/>
      <c r="MPL11" s="13"/>
      <c r="MPN11" s="13"/>
      <c r="MPP11" s="13"/>
      <c r="MPR11" s="13"/>
      <c r="MPT11" s="13"/>
      <c r="MPV11" s="13"/>
      <c r="MPX11" s="13"/>
      <c r="MPZ11" s="13"/>
      <c r="MQB11" s="13"/>
      <c r="MQD11" s="13"/>
      <c r="MQF11" s="13"/>
      <c r="MQH11" s="13"/>
      <c r="MQJ11" s="13"/>
      <c r="MQL11" s="13"/>
      <c r="MQN11" s="13"/>
      <c r="MQP11" s="13"/>
      <c r="MQR11" s="13"/>
      <c r="MQT11" s="13"/>
      <c r="MQV11" s="13"/>
      <c r="MQX11" s="13"/>
      <c r="MQZ11" s="13"/>
      <c r="MRB11" s="13"/>
      <c r="MRD11" s="13"/>
      <c r="MRF11" s="13"/>
      <c r="MRH11" s="13"/>
      <c r="MRJ11" s="13"/>
      <c r="MRL11" s="13"/>
      <c r="MRN11" s="13"/>
      <c r="MRP11" s="13"/>
      <c r="MRR11" s="13"/>
      <c r="MRT11" s="13"/>
      <c r="MRV11" s="13"/>
      <c r="MRX11" s="13"/>
      <c r="MRZ11" s="13"/>
      <c r="MSB11" s="13"/>
      <c r="MSD11" s="13"/>
      <c r="MSF11" s="13"/>
      <c r="MSH11" s="13"/>
      <c r="MSJ11" s="13"/>
      <c r="MSL11" s="13"/>
      <c r="MSN11" s="13"/>
      <c r="MSP11" s="13"/>
      <c r="MSR11" s="13"/>
      <c r="MST11" s="13"/>
      <c r="MSV11" s="13"/>
      <c r="MSX11" s="13"/>
      <c r="MSZ11" s="13"/>
      <c r="MTB11" s="13"/>
      <c r="MTD11" s="13"/>
      <c r="MTF11" s="13"/>
      <c r="MTH11" s="13"/>
      <c r="MTJ11" s="13"/>
      <c r="MTL11" s="13"/>
      <c r="MTN11" s="13"/>
      <c r="MTP11" s="13"/>
      <c r="MTR11" s="13"/>
      <c r="MTT11" s="13"/>
      <c r="MTV11" s="13"/>
      <c r="MTX11" s="13"/>
      <c r="MTZ11" s="13"/>
      <c r="MUB11" s="13"/>
      <c r="MUD11" s="13"/>
      <c r="MUF11" s="13"/>
      <c r="MUH11" s="13"/>
      <c r="MUJ11" s="13"/>
      <c r="MUL11" s="13"/>
      <c r="MUN11" s="13"/>
      <c r="MUP11" s="13"/>
      <c r="MUR11" s="13"/>
      <c r="MUT11" s="13"/>
      <c r="MUV11" s="13"/>
      <c r="MUX11" s="13"/>
      <c r="MUZ11" s="13"/>
      <c r="MVB11" s="13"/>
      <c r="MVD11" s="13"/>
      <c r="MVF11" s="13"/>
      <c r="MVH11" s="13"/>
      <c r="MVJ11" s="13"/>
      <c r="MVL11" s="13"/>
      <c r="MVN11" s="13"/>
      <c r="MVP11" s="13"/>
      <c r="MVR11" s="13"/>
      <c r="MVT11" s="13"/>
      <c r="MVV11" s="13"/>
      <c r="MVX11" s="13"/>
      <c r="MVZ11" s="13"/>
      <c r="MWB11" s="13"/>
      <c r="MWD11" s="13"/>
      <c r="MWF11" s="13"/>
      <c r="MWH11" s="13"/>
      <c r="MWJ11" s="13"/>
      <c r="MWL11" s="13"/>
      <c r="MWN11" s="13"/>
      <c r="MWP11" s="13"/>
      <c r="MWR11" s="13"/>
      <c r="MWT11" s="13"/>
      <c r="MWV11" s="13"/>
      <c r="MWX11" s="13"/>
      <c r="MWZ11" s="13"/>
      <c r="MXB11" s="13"/>
      <c r="MXD11" s="13"/>
      <c r="MXF11" s="13"/>
      <c r="MXH11" s="13"/>
      <c r="MXJ11" s="13"/>
      <c r="MXL11" s="13"/>
      <c r="MXN11" s="13"/>
      <c r="MXP11" s="13"/>
      <c r="MXR11" s="13"/>
      <c r="MXT11" s="13"/>
      <c r="MXV11" s="13"/>
      <c r="MXX11" s="13"/>
      <c r="MXZ11" s="13"/>
      <c r="MYB11" s="13"/>
      <c r="MYD11" s="13"/>
      <c r="MYF11" s="13"/>
      <c r="MYH11" s="13"/>
      <c r="MYJ11" s="13"/>
      <c r="MYL11" s="13"/>
      <c r="MYN11" s="13"/>
      <c r="MYP11" s="13"/>
      <c r="MYR11" s="13"/>
      <c r="MYT11" s="13"/>
      <c r="MYV11" s="13"/>
      <c r="MYX11" s="13"/>
      <c r="MYZ11" s="13"/>
      <c r="MZB11" s="13"/>
      <c r="MZD11" s="13"/>
      <c r="MZF11" s="13"/>
      <c r="MZH11" s="13"/>
      <c r="MZJ11" s="13"/>
      <c r="MZL11" s="13"/>
      <c r="MZN11" s="13"/>
      <c r="MZP11" s="13"/>
      <c r="MZR11" s="13"/>
      <c r="MZT11" s="13"/>
      <c r="MZV11" s="13"/>
      <c r="MZX11" s="13"/>
      <c r="MZZ11" s="13"/>
      <c r="NAB11" s="13"/>
      <c r="NAD11" s="13"/>
      <c r="NAF11" s="13"/>
      <c r="NAH11" s="13"/>
      <c r="NAJ11" s="13"/>
      <c r="NAL11" s="13"/>
      <c r="NAN11" s="13"/>
      <c r="NAP11" s="13"/>
      <c r="NAR11" s="13"/>
      <c r="NAT11" s="13"/>
      <c r="NAV11" s="13"/>
      <c r="NAX11" s="13"/>
      <c r="NAZ11" s="13"/>
      <c r="NBB11" s="13"/>
      <c r="NBD11" s="13"/>
      <c r="NBF11" s="13"/>
      <c r="NBH11" s="13"/>
      <c r="NBJ11" s="13"/>
      <c r="NBL11" s="13"/>
      <c r="NBN11" s="13"/>
      <c r="NBP11" s="13"/>
      <c r="NBR11" s="13"/>
      <c r="NBT11" s="13"/>
      <c r="NBV11" s="13"/>
      <c r="NBX11" s="13"/>
      <c r="NBZ11" s="13"/>
      <c r="NCB11" s="13"/>
      <c r="NCD11" s="13"/>
      <c r="NCF11" s="13"/>
      <c r="NCH11" s="13"/>
      <c r="NCJ11" s="13"/>
      <c r="NCL11" s="13"/>
      <c r="NCN11" s="13"/>
      <c r="NCP11" s="13"/>
      <c r="NCR11" s="13"/>
      <c r="NCT11" s="13"/>
      <c r="NCV11" s="13"/>
      <c r="NCX11" s="13"/>
      <c r="NCZ11" s="13"/>
      <c r="NDB11" s="13"/>
      <c r="NDD11" s="13"/>
      <c r="NDF11" s="13"/>
      <c r="NDH11" s="13"/>
      <c r="NDJ11" s="13"/>
      <c r="NDL11" s="13"/>
      <c r="NDN11" s="13"/>
      <c r="NDP11" s="13"/>
      <c r="NDR11" s="13"/>
      <c r="NDT11" s="13"/>
      <c r="NDV11" s="13"/>
      <c r="NDX11" s="13"/>
      <c r="NDZ11" s="13"/>
      <c r="NEB11" s="13"/>
      <c r="NED11" s="13"/>
      <c r="NEF11" s="13"/>
      <c r="NEH11" s="13"/>
      <c r="NEJ11" s="13"/>
      <c r="NEL11" s="13"/>
      <c r="NEN11" s="13"/>
      <c r="NEP11" s="13"/>
      <c r="NER11" s="13"/>
      <c r="NET11" s="13"/>
      <c r="NEV11" s="13"/>
      <c r="NEX11" s="13"/>
      <c r="NEZ11" s="13"/>
      <c r="NFB11" s="13"/>
      <c r="NFD11" s="13"/>
      <c r="NFF11" s="13"/>
      <c r="NFH11" s="13"/>
      <c r="NFJ11" s="13"/>
      <c r="NFL11" s="13"/>
      <c r="NFN11" s="13"/>
      <c r="NFP11" s="13"/>
      <c r="NFR11" s="13"/>
      <c r="NFT11" s="13"/>
      <c r="NFV11" s="13"/>
      <c r="NFX11" s="13"/>
      <c r="NFZ11" s="13"/>
      <c r="NGB11" s="13"/>
      <c r="NGD11" s="13"/>
      <c r="NGF11" s="13"/>
      <c r="NGH11" s="13"/>
      <c r="NGJ11" s="13"/>
      <c r="NGL11" s="13"/>
      <c r="NGN11" s="13"/>
      <c r="NGP11" s="13"/>
      <c r="NGR11" s="13"/>
      <c r="NGT11" s="13"/>
      <c r="NGV11" s="13"/>
      <c r="NGX11" s="13"/>
      <c r="NGZ11" s="13"/>
      <c r="NHB11" s="13"/>
      <c r="NHD11" s="13"/>
      <c r="NHF11" s="13"/>
      <c r="NHH11" s="13"/>
      <c r="NHJ11" s="13"/>
      <c r="NHL11" s="13"/>
      <c r="NHN11" s="13"/>
      <c r="NHP11" s="13"/>
      <c r="NHR11" s="13"/>
      <c r="NHT11" s="13"/>
      <c r="NHV11" s="13"/>
      <c r="NHX11" s="13"/>
      <c r="NHZ11" s="13"/>
      <c r="NIB11" s="13"/>
      <c r="NID11" s="13"/>
      <c r="NIF11" s="13"/>
      <c r="NIH11" s="13"/>
      <c r="NIJ11" s="13"/>
      <c r="NIL11" s="13"/>
      <c r="NIN11" s="13"/>
      <c r="NIP11" s="13"/>
      <c r="NIR11" s="13"/>
      <c r="NIT11" s="13"/>
      <c r="NIV11" s="13"/>
      <c r="NIX11" s="13"/>
      <c r="NIZ11" s="13"/>
      <c r="NJB11" s="13"/>
      <c r="NJD11" s="13"/>
      <c r="NJF11" s="13"/>
      <c r="NJH11" s="13"/>
      <c r="NJJ11" s="13"/>
      <c r="NJL11" s="13"/>
      <c r="NJN11" s="13"/>
      <c r="NJP11" s="13"/>
      <c r="NJR11" s="13"/>
      <c r="NJT11" s="13"/>
      <c r="NJV11" s="13"/>
      <c r="NJX11" s="13"/>
      <c r="NJZ11" s="13"/>
      <c r="NKB11" s="13"/>
      <c r="NKD11" s="13"/>
      <c r="NKF11" s="13"/>
      <c r="NKH11" s="13"/>
      <c r="NKJ11" s="13"/>
      <c r="NKL11" s="13"/>
      <c r="NKN11" s="13"/>
      <c r="NKP11" s="13"/>
      <c r="NKR11" s="13"/>
      <c r="NKT11" s="13"/>
      <c r="NKV11" s="13"/>
      <c r="NKX11" s="13"/>
      <c r="NKZ11" s="13"/>
      <c r="NLB11" s="13"/>
      <c r="NLD11" s="13"/>
      <c r="NLF11" s="13"/>
      <c r="NLH11" s="13"/>
      <c r="NLJ11" s="13"/>
      <c r="NLL11" s="13"/>
      <c r="NLN11" s="13"/>
      <c r="NLP11" s="13"/>
      <c r="NLR11" s="13"/>
      <c r="NLT11" s="13"/>
      <c r="NLV11" s="13"/>
      <c r="NLX11" s="13"/>
      <c r="NLZ11" s="13"/>
      <c r="NMB11" s="13"/>
      <c r="NMD11" s="13"/>
      <c r="NMF11" s="13"/>
      <c r="NMH11" s="13"/>
      <c r="NMJ11" s="13"/>
      <c r="NML11" s="13"/>
      <c r="NMN11" s="13"/>
      <c r="NMP11" s="13"/>
      <c r="NMR11" s="13"/>
      <c r="NMT11" s="13"/>
      <c r="NMV11" s="13"/>
      <c r="NMX11" s="13"/>
      <c r="NMZ11" s="13"/>
      <c r="NNB11" s="13"/>
      <c r="NND11" s="13"/>
      <c r="NNF11" s="13"/>
      <c r="NNH11" s="13"/>
      <c r="NNJ11" s="13"/>
      <c r="NNL11" s="13"/>
      <c r="NNN11" s="13"/>
      <c r="NNP11" s="13"/>
      <c r="NNR11" s="13"/>
      <c r="NNT11" s="13"/>
      <c r="NNV11" s="13"/>
      <c r="NNX11" s="13"/>
      <c r="NNZ11" s="13"/>
      <c r="NOB11" s="13"/>
      <c r="NOD11" s="13"/>
      <c r="NOF11" s="13"/>
      <c r="NOH11" s="13"/>
      <c r="NOJ11" s="13"/>
      <c r="NOL11" s="13"/>
      <c r="NON11" s="13"/>
      <c r="NOP11" s="13"/>
      <c r="NOR11" s="13"/>
      <c r="NOT11" s="13"/>
      <c r="NOV11" s="13"/>
      <c r="NOX11" s="13"/>
      <c r="NOZ11" s="13"/>
      <c r="NPB11" s="13"/>
      <c r="NPD11" s="13"/>
      <c r="NPF11" s="13"/>
      <c r="NPH11" s="13"/>
      <c r="NPJ11" s="13"/>
      <c r="NPL11" s="13"/>
      <c r="NPN11" s="13"/>
      <c r="NPP11" s="13"/>
      <c r="NPR11" s="13"/>
      <c r="NPT11" s="13"/>
      <c r="NPV11" s="13"/>
      <c r="NPX11" s="13"/>
      <c r="NPZ11" s="13"/>
      <c r="NQB11" s="13"/>
      <c r="NQD11" s="13"/>
      <c r="NQF11" s="13"/>
      <c r="NQH11" s="13"/>
      <c r="NQJ11" s="13"/>
      <c r="NQL11" s="13"/>
      <c r="NQN11" s="13"/>
      <c r="NQP11" s="13"/>
      <c r="NQR11" s="13"/>
      <c r="NQT11" s="13"/>
      <c r="NQV11" s="13"/>
      <c r="NQX11" s="13"/>
      <c r="NQZ11" s="13"/>
      <c r="NRB11" s="13"/>
      <c r="NRD11" s="13"/>
      <c r="NRF11" s="13"/>
      <c r="NRH11" s="13"/>
      <c r="NRJ11" s="13"/>
      <c r="NRL11" s="13"/>
      <c r="NRN11" s="13"/>
      <c r="NRP11" s="13"/>
      <c r="NRR11" s="13"/>
      <c r="NRT11" s="13"/>
      <c r="NRV11" s="13"/>
      <c r="NRX11" s="13"/>
      <c r="NRZ11" s="13"/>
      <c r="NSB11" s="13"/>
      <c r="NSD11" s="13"/>
      <c r="NSF11" s="13"/>
      <c r="NSH11" s="13"/>
      <c r="NSJ11" s="13"/>
      <c r="NSL11" s="13"/>
      <c r="NSN11" s="13"/>
      <c r="NSP11" s="13"/>
      <c r="NSR11" s="13"/>
      <c r="NST11" s="13"/>
      <c r="NSV11" s="13"/>
      <c r="NSX11" s="13"/>
      <c r="NSZ11" s="13"/>
      <c r="NTB11" s="13"/>
      <c r="NTD11" s="13"/>
      <c r="NTF11" s="13"/>
      <c r="NTH11" s="13"/>
      <c r="NTJ11" s="13"/>
      <c r="NTL11" s="13"/>
      <c r="NTN11" s="13"/>
      <c r="NTP11" s="13"/>
      <c r="NTR11" s="13"/>
      <c r="NTT11" s="13"/>
      <c r="NTV11" s="13"/>
      <c r="NTX11" s="13"/>
      <c r="NTZ11" s="13"/>
      <c r="NUB11" s="13"/>
      <c r="NUD11" s="13"/>
      <c r="NUF11" s="13"/>
      <c r="NUH11" s="13"/>
      <c r="NUJ11" s="13"/>
      <c r="NUL11" s="13"/>
      <c r="NUN11" s="13"/>
      <c r="NUP11" s="13"/>
      <c r="NUR11" s="13"/>
      <c r="NUT11" s="13"/>
      <c r="NUV11" s="13"/>
      <c r="NUX11" s="13"/>
      <c r="NUZ11" s="13"/>
      <c r="NVB11" s="13"/>
      <c r="NVD11" s="13"/>
      <c r="NVF11" s="13"/>
      <c r="NVH11" s="13"/>
      <c r="NVJ11" s="13"/>
      <c r="NVL11" s="13"/>
      <c r="NVN11" s="13"/>
      <c r="NVP11" s="13"/>
      <c r="NVR11" s="13"/>
      <c r="NVT11" s="13"/>
      <c r="NVV11" s="13"/>
      <c r="NVX11" s="13"/>
      <c r="NVZ11" s="13"/>
      <c r="NWB11" s="13"/>
      <c r="NWD11" s="13"/>
      <c r="NWF11" s="13"/>
      <c r="NWH11" s="13"/>
      <c r="NWJ11" s="13"/>
      <c r="NWL11" s="13"/>
      <c r="NWN11" s="13"/>
      <c r="NWP11" s="13"/>
      <c r="NWR11" s="13"/>
      <c r="NWT11" s="13"/>
      <c r="NWV11" s="13"/>
      <c r="NWX11" s="13"/>
      <c r="NWZ11" s="13"/>
      <c r="NXB11" s="13"/>
      <c r="NXD11" s="13"/>
      <c r="NXF11" s="13"/>
      <c r="NXH11" s="13"/>
      <c r="NXJ11" s="13"/>
      <c r="NXL11" s="13"/>
      <c r="NXN11" s="13"/>
      <c r="NXP11" s="13"/>
      <c r="NXR11" s="13"/>
      <c r="NXT11" s="13"/>
      <c r="NXV11" s="13"/>
      <c r="NXX11" s="13"/>
      <c r="NXZ11" s="13"/>
      <c r="NYB11" s="13"/>
      <c r="NYD11" s="13"/>
      <c r="NYF11" s="13"/>
      <c r="NYH11" s="13"/>
      <c r="NYJ11" s="13"/>
      <c r="NYL11" s="13"/>
      <c r="NYN11" s="13"/>
      <c r="NYP11" s="13"/>
      <c r="NYR11" s="13"/>
      <c r="NYT11" s="13"/>
      <c r="NYV11" s="13"/>
      <c r="NYX11" s="13"/>
      <c r="NYZ11" s="13"/>
      <c r="NZB11" s="13"/>
      <c r="NZD11" s="13"/>
      <c r="NZF11" s="13"/>
      <c r="NZH11" s="13"/>
      <c r="NZJ11" s="13"/>
      <c r="NZL11" s="13"/>
      <c r="NZN11" s="13"/>
      <c r="NZP11" s="13"/>
      <c r="NZR11" s="13"/>
      <c r="NZT11" s="13"/>
      <c r="NZV11" s="13"/>
      <c r="NZX11" s="13"/>
      <c r="NZZ11" s="13"/>
      <c r="OAB11" s="13"/>
      <c r="OAD11" s="13"/>
      <c r="OAF11" s="13"/>
      <c r="OAH11" s="13"/>
      <c r="OAJ11" s="13"/>
      <c r="OAL11" s="13"/>
      <c r="OAN11" s="13"/>
      <c r="OAP11" s="13"/>
      <c r="OAR11" s="13"/>
      <c r="OAT11" s="13"/>
      <c r="OAV11" s="13"/>
      <c r="OAX11" s="13"/>
      <c r="OAZ11" s="13"/>
      <c r="OBB11" s="13"/>
      <c r="OBD11" s="13"/>
      <c r="OBF11" s="13"/>
      <c r="OBH11" s="13"/>
      <c r="OBJ11" s="13"/>
      <c r="OBL11" s="13"/>
      <c r="OBN11" s="13"/>
      <c r="OBP11" s="13"/>
      <c r="OBR11" s="13"/>
      <c r="OBT11" s="13"/>
      <c r="OBV11" s="13"/>
      <c r="OBX11" s="13"/>
      <c r="OBZ11" s="13"/>
      <c r="OCB11" s="13"/>
      <c r="OCD11" s="13"/>
      <c r="OCF11" s="13"/>
      <c r="OCH11" s="13"/>
      <c r="OCJ11" s="13"/>
      <c r="OCL11" s="13"/>
      <c r="OCN11" s="13"/>
      <c r="OCP11" s="13"/>
      <c r="OCR11" s="13"/>
      <c r="OCT11" s="13"/>
      <c r="OCV11" s="13"/>
      <c r="OCX11" s="13"/>
      <c r="OCZ11" s="13"/>
      <c r="ODB11" s="13"/>
      <c r="ODD11" s="13"/>
      <c r="ODF11" s="13"/>
      <c r="ODH11" s="13"/>
      <c r="ODJ11" s="13"/>
      <c r="ODL11" s="13"/>
      <c r="ODN11" s="13"/>
      <c r="ODP11" s="13"/>
      <c r="ODR11" s="13"/>
      <c r="ODT11" s="13"/>
      <c r="ODV11" s="13"/>
      <c r="ODX11" s="13"/>
      <c r="ODZ11" s="13"/>
      <c r="OEB11" s="13"/>
      <c r="OED11" s="13"/>
      <c r="OEF11" s="13"/>
      <c r="OEH11" s="13"/>
      <c r="OEJ11" s="13"/>
      <c r="OEL11" s="13"/>
      <c r="OEN11" s="13"/>
      <c r="OEP11" s="13"/>
      <c r="OER11" s="13"/>
      <c r="OET11" s="13"/>
      <c r="OEV11" s="13"/>
      <c r="OEX11" s="13"/>
      <c r="OEZ11" s="13"/>
      <c r="OFB11" s="13"/>
      <c r="OFD11" s="13"/>
      <c r="OFF11" s="13"/>
      <c r="OFH11" s="13"/>
      <c r="OFJ11" s="13"/>
      <c r="OFL11" s="13"/>
      <c r="OFN11" s="13"/>
      <c r="OFP11" s="13"/>
      <c r="OFR11" s="13"/>
      <c r="OFT11" s="13"/>
      <c r="OFV11" s="13"/>
      <c r="OFX11" s="13"/>
      <c r="OFZ11" s="13"/>
      <c r="OGB11" s="13"/>
      <c r="OGD11" s="13"/>
      <c r="OGF11" s="13"/>
      <c r="OGH11" s="13"/>
      <c r="OGJ11" s="13"/>
      <c r="OGL11" s="13"/>
      <c r="OGN11" s="13"/>
      <c r="OGP11" s="13"/>
      <c r="OGR11" s="13"/>
      <c r="OGT11" s="13"/>
      <c r="OGV11" s="13"/>
      <c r="OGX11" s="13"/>
      <c r="OGZ11" s="13"/>
      <c r="OHB11" s="13"/>
      <c r="OHD11" s="13"/>
      <c r="OHF11" s="13"/>
      <c r="OHH11" s="13"/>
      <c r="OHJ11" s="13"/>
      <c r="OHL11" s="13"/>
      <c r="OHN11" s="13"/>
      <c r="OHP11" s="13"/>
      <c r="OHR11" s="13"/>
      <c r="OHT11" s="13"/>
      <c r="OHV11" s="13"/>
      <c r="OHX11" s="13"/>
      <c r="OHZ11" s="13"/>
      <c r="OIB11" s="13"/>
      <c r="OID11" s="13"/>
      <c r="OIF11" s="13"/>
      <c r="OIH11" s="13"/>
      <c r="OIJ11" s="13"/>
      <c r="OIL11" s="13"/>
      <c r="OIN11" s="13"/>
      <c r="OIP11" s="13"/>
      <c r="OIR11" s="13"/>
      <c r="OIT11" s="13"/>
      <c r="OIV11" s="13"/>
      <c r="OIX11" s="13"/>
      <c r="OIZ11" s="13"/>
      <c r="OJB11" s="13"/>
      <c r="OJD11" s="13"/>
      <c r="OJF11" s="13"/>
      <c r="OJH11" s="13"/>
      <c r="OJJ11" s="13"/>
      <c r="OJL11" s="13"/>
      <c r="OJN11" s="13"/>
      <c r="OJP11" s="13"/>
      <c r="OJR11" s="13"/>
      <c r="OJT11" s="13"/>
      <c r="OJV11" s="13"/>
      <c r="OJX11" s="13"/>
      <c r="OJZ11" s="13"/>
      <c r="OKB11" s="13"/>
      <c r="OKD11" s="13"/>
      <c r="OKF11" s="13"/>
      <c r="OKH11" s="13"/>
      <c r="OKJ11" s="13"/>
      <c r="OKL11" s="13"/>
      <c r="OKN11" s="13"/>
      <c r="OKP11" s="13"/>
      <c r="OKR11" s="13"/>
      <c r="OKT11" s="13"/>
      <c r="OKV11" s="13"/>
      <c r="OKX11" s="13"/>
      <c r="OKZ11" s="13"/>
      <c r="OLB11" s="13"/>
      <c r="OLD11" s="13"/>
      <c r="OLF11" s="13"/>
      <c r="OLH11" s="13"/>
      <c r="OLJ11" s="13"/>
      <c r="OLL11" s="13"/>
      <c r="OLN11" s="13"/>
      <c r="OLP11" s="13"/>
      <c r="OLR11" s="13"/>
      <c r="OLT11" s="13"/>
      <c r="OLV11" s="13"/>
      <c r="OLX11" s="13"/>
      <c r="OLZ11" s="13"/>
      <c r="OMB11" s="13"/>
      <c r="OMD11" s="13"/>
      <c r="OMF11" s="13"/>
      <c r="OMH11" s="13"/>
      <c r="OMJ11" s="13"/>
      <c r="OML11" s="13"/>
      <c r="OMN11" s="13"/>
      <c r="OMP11" s="13"/>
      <c r="OMR11" s="13"/>
      <c r="OMT11" s="13"/>
      <c r="OMV11" s="13"/>
      <c r="OMX11" s="13"/>
      <c r="OMZ11" s="13"/>
      <c r="ONB11" s="13"/>
      <c r="OND11" s="13"/>
      <c r="ONF11" s="13"/>
      <c r="ONH11" s="13"/>
      <c r="ONJ11" s="13"/>
      <c r="ONL11" s="13"/>
      <c r="ONN11" s="13"/>
      <c r="ONP11" s="13"/>
      <c r="ONR11" s="13"/>
      <c r="ONT11" s="13"/>
      <c r="ONV11" s="13"/>
      <c r="ONX11" s="13"/>
      <c r="ONZ11" s="13"/>
      <c r="OOB11" s="13"/>
      <c r="OOD11" s="13"/>
      <c r="OOF11" s="13"/>
      <c r="OOH11" s="13"/>
      <c r="OOJ11" s="13"/>
      <c r="OOL11" s="13"/>
      <c r="OON11" s="13"/>
      <c r="OOP11" s="13"/>
      <c r="OOR11" s="13"/>
      <c r="OOT11" s="13"/>
      <c r="OOV11" s="13"/>
      <c r="OOX11" s="13"/>
      <c r="OOZ11" s="13"/>
      <c r="OPB11" s="13"/>
      <c r="OPD11" s="13"/>
      <c r="OPF11" s="13"/>
      <c r="OPH11" s="13"/>
      <c r="OPJ11" s="13"/>
      <c r="OPL11" s="13"/>
      <c r="OPN11" s="13"/>
      <c r="OPP11" s="13"/>
      <c r="OPR11" s="13"/>
      <c r="OPT11" s="13"/>
      <c r="OPV11" s="13"/>
      <c r="OPX11" s="13"/>
      <c r="OPZ11" s="13"/>
      <c r="OQB11" s="13"/>
      <c r="OQD11" s="13"/>
      <c r="OQF11" s="13"/>
      <c r="OQH11" s="13"/>
      <c r="OQJ11" s="13"/>
      <c r="OQL11" s="13"/>
      <c r="OQN11" s="13"/>
      <c r="OQP11" s="13"/>
      <c r="OQR11" s="13"/>
      <c r="OQT11" s="13"/>
      <c r="OQV11" s="13"/>
      <c r="OQX11" s="13"/>
      <c r="OQZ11" s="13"/>
      <c r="ORB11" s="13"/>
      <c r="ORD11" s="13"/>
      <c r="ORF11" s="13"/>
      <c r="ORH11" s="13"/>
      <c r="ORJ11" s="13"/>
      <c r="ORL11" s="13"/>
      <c r="ORN11" s="13"/>
      <c r="ORP11" s="13"/>
      <c r="ORR11" s="13"/>
      <c r="ORT11" s="13"/>
      <c r="ORV11" s="13"/>
      <c r="ORX11" s="13"/>
      <c r="ORZ11" s="13"/>
      <c r="OSB11" s="13"/>
      <c r="OSD11" s="13"/>
      <c r="OSF11" s="13"/>
      <c r="OSH11" s="13"/>
      <c r="OSJ11" s="13"/>
      <c r="OSL11" s="13"/>
      <c r="OSN11" s="13"/>
      <c r="OSP11" s="13"/>
      <c r="OSR11" s="13"/>
      <c r="OST11" s="13"/>
      <c r="OSV11" s="13"/>
      <c r="OSX11" s="13"/>
      <c r="OSZ11" s="13"/>
      <c r="OTB11" s="13"/>
      <c r="OTD11" s="13"/>
      <c r="OTF11" s="13"/>
      <c r="OTH11" s="13"/>
      <c r="OTJ11" s="13"/>
      <c r="OTL11" s="13"/>
      <c r="OTN11" s="13"/>
      <c r="OTP11" s="13"/>
      <c r="OTR11" s="13"/>
      <c r="OTT11" s="13"/>
      <c r="OTV11" s="13"/>
      <c r="OTX11" s="13"/>
      <c r="OTZ11" s="13"/>
      <c r="OUB11" s="13"/>
      <c r="OUD11" s="13"/>
      <c r="OUF11" s="13"/>
      <c r="OUH11" s="13"/>
      <c r="OUJ11" s="13"/>
      <c r="OUL11" s="13"/>
      <c r="OUN11" s="13"/>
      <c r="OUP11" s="13"/>
      <c r="OUR11" s="13"/>
      <c r="OUT11" s="13"/>
      <c r="OUV11" s="13"/>
      <c r="OUX11" s="13"/>
      <c r="OUZ11" s="13"/>
      <c r="OVB11" s="13"/>
      <c r="OVD11" s="13"/>
      <c r="OVF11" s="13"/>
      <c r="OVH11" s="13"/>
      <c r="OVJ11" s="13"/>
      <c r="OVL11" s="13"/>
      <c r="OVN11" s="13"/>
      <c r="OVP11" s="13"/>
      <c r="OVR11" s="13"/>
      <c r="OVT11" s="13"/>
      <c r="OVV11" s="13"/>
      <c r="OVX11" s="13"/>
      <c r="OVZ11" s="13"/>
      <c r="OWB11" s="13"/>
      <c r="OWD11" s="13"/>
      <c r="OWF11" s="13"/>
      <c r="OWH11" s="13"/>
      <c r="OWJ11" s="13"/>
      <c r="OWL11" s="13"/>
      <c r="OWN11" s="13"/>
      <c r="OWP11" s="13"/>
      <c r="OWR11" s="13"/>
      <c r="OWT11" s="13"/>
      <c r="OWV11" s="13"/>
      <c r="OWX11" s="13"/>
      <c r="OWZ11" s="13"/>
      <c r="OXB11" s="13"/>
      <c r="OXD11" s="13"/>
      <c r="OXF11" s="13"/>
      <c r="OXH11" s="13"/>
      <c r="OXJ11" s="13"/>
      <c r="OXL11" s="13"/>
      <c r="OXN11" s="13"/>
      <c r="OXP11" s="13"/>
      <c r="OXR11" s="13"/>
      <c r="OXT11" s="13"/>
      <c r="OXV11" s="13"/>
      <c r="OXX11" s="13"/>
      <c r="OXZ11" s="13"/>
      <c r="OYB11" s="13"/>
      <c r="OYD11" s="13"/>
      <c r="OYF11" s="13"/>
      <c r="OYH11" s="13"/>
      <c r="OYJ11" s="13"/>
      <c r="OYL11" s="13"/>
      <c r="OYN11" s="13"/>
      <c r="OYP11" s="13"/>
      <c r="OYR11" s="13"/>
      <c r="OYT11" s="13"/>
      <c r="OYV11" s="13"/>
      <c r="OYX11" s="13"/>
      <c r="OYZ11" s="13"/>
      <c r="OZB11" s="13"/>
      <c r="OZD11" s="13"/>
      <c r="OZF11" s="13"/>
      <c r="OZH11" s="13"/>
      <c r="OZJ11" s="13"/>
      <c r="OZL11" s="13"/>
      <c r="OZN11" s="13"/>
      <c r="OZP11" s="13"/>
      <c r="OZR11" s="13"/>
      <c r="OZT11" s="13"/>
      <c r="OZV11" s="13"/>
      <c r="OZX11" s="13"/>
      <c r="OZZ11" s="13"/>
      <c r="PAB11" s="13"/>
      <c r="PAD11" s="13"/>
      <c r="PAF11" s="13"/>
      <c r="PAH11" s="13"/>
      <c r="PAJ11" s="13"/>
      <c r="PAL11" s="13"/>
      <c r="PAN11" s="13"/>
      <c r="PAP11" s="13"/>
      <c r="PAR11" s="13"/>
      <c r="PAT11" s="13"/>
      <c r="PAV11" s="13"/>
      <c r="PAX11" s="13"/>
      <c r="PAZ11" s="13"/>
      <c r="PBB11" s="13"/>
      <c r="PBD11" s="13"/>
      <c r="PBF11" s="13"/>
      <c r="PBH11" s="13"/>
      <c r="PBJ11" s="13"/>
      <c r="PBL11" s="13"/>
      <c r="PBN11" s="13"/>
      <c r="PBP11" s="13"/>
      <c r="PBR11" s="13"/>
      <c r="PBT11" s="13"/>
      <c r="PBV11" s="13"/>
      <c r="PBX11" s="13"/>
      <c r="PBZ11" s="13"/>
      <c r="PCB11" s="13"/>
      <c r="PCD11" s="13"/>
      <c r="PCF11" s="13"/>
      <c r="PCH11" s="13"/>
      <c r="PCJ11" s="13"/>
      <c r="PCL11" s="13"/>
      <c r="PCN11" s="13"/>
      <c r="PCP11" s="13"/>
      <c r="PCR11" s="13"/>
      <c r="PCT11" s="13"/>
      <c r="PCV11" s="13"/>
      <c r="PCX11" s="13"/>
      <c r="PCZ11" s="13"/>
      <c r="PDB11" s="13"/>
      <c r="PDD11" s="13"/>
      <c r="PDF11" s="13"/>
      <c r="PDH11" s="13"/>
      <c r="PDJ11" s="13"/>
      <c r="PDL11" s="13"/>
      <c r="PDN11" s="13"/>
      <c r="PDP11" s="13"/>
      <c r="PDR11" s="13"/>
      <c r="PDT11" s="13"/>
      <c r="PDV11" s="13"/>
      <c r="PDX11" s="13"/>
      <c r="PDZ11" s="13"/>
      <c r="PEB11" s="13"/>
      <c r="PED11" s="13"/>
      <c r="PEF11" s="13"/>
      <c r="PEH11" s="13"/>
      <c r="PEJ11" s="13"/>
      <c r="PEL11" s="13"/>
      <c r="PEN11" s="13"/>
      <c r="PEP11" s="13"/>
      <c r="PER11" s="13"/>
      <c r="PET11" s="13"/>
      <c r="PEV11" s="13"/>
      <c r="PEX11" s="13"/>
      <c r="PEZ11" s="13"/>
      <c r="PFB11" s="13"/>
      <c r="PFD11" s="13"/>
      <c r="PFF11" s="13"/>
      <c r="PFH11" s="13"/>
      <c r="PFJ11" s="13"/>
      <c r="PFL11" s="13"/>
      <c r="PFN11" s="13"/>
      <c r="PFP11" s="13"/>
      <c r="PFR11" s="13"/>
      <c r="PFT11" s="13"/>
      <c r="PFV11" s="13"/>
      <c r="PFX11" s="13"/>
      <c r="PFZ11" s="13"/>
      <c r="PGB11" s="13"/>
      <c r="PGD11" s="13"/>
      <c r="PGF11" s="13"/>
      <c r="PGH11" s="13"/>
      <c r="PGJ11" s="13"/>
      <c r="PGL11" s="13"/>
      <c r="PGN11" s="13"/>
      <c r="PGP11" s="13"/>
      <c r="PGR11" s="13"/>
      <c r="PGT11" s="13"/>
      <c r="PGV11" s="13"/>
      <c r="PGX11" s="13"/>
      <c r="PGZ11" s="13"/>
      <c r="PHB11" s="13"/>
      <c r="PHD11" s="13"/>
      <c r="PHF11" s="13"/>
      <c r="PHH11" s="13"/>
      <c r="PHJ11" s="13"/>
      <c r="PHL11" s="13"/>
      <c r="PHN11" s="13"/>
      <c r="PHP11" s="13"/>
      <c r="PHR11" s="13"/>
      <c r="PHT11" s="13"/>
      <c r="PHV11" s="13"/>
      <c r="PHX11" s="13"/>
      <c r="PHZ11" s="13"/>
      <c r="PIB11" s="13"/>
      <c r="PID11" s="13"/>
      <c r="PIF11" s="13"/>
      <c r="PIH11" s="13"/>
      <c r="PIJ11" s="13"/>
      <c r="PIL11" s="13"/>
      <c r="PIN11" s="13"/>
      <c r="PIP11" s="13"/>
      <c r="PIR11" s="13"/>
      <c r="PIT11" s="13"/>
      <c r="PIV11" s="13"/>
      <c r="PIX11" s="13"/>
      <c r="PIZ11" s="13"/>
      <c r="PJB11" s="13"/>
      <c r="PJD11" s="13"/>
      <c r="PJF11" s="13"/>
      <c r="PJH11" s="13"/>
      <c r="PJJ11" s="13"/>
      <c r="PJL11" s="13"/>
      <c r="PJN11" s="13"/>
      <c r="PJP11" s="13"/>
      <c r="PJR11" s="13"/>
      <c r="PJT11" s="13"/>
      <c r="PJV11" s="13"/>
      <c r="PJX11" s="13"/>
      <c r="PJZ11" s="13"/>
      <c r="PKB11" s="13"/>
      <c r="PKD11" s="13"/>
      <c r="PKF11" s="13"/>
      <c r="PKH11" s="13"/>
      <c r="PKJ11" s="13"/>
      <c r="PKL11" s="13"/>
      <c r="PKN11" s="13"/>
      <c r="PKP11" s="13"/>
      <c r="PKR11" s="13"/>
      <c r="PKT11" s="13"/>
      <c r="PKV11" s="13"/>
      <c r="PKX11" s="13"/>
      <c r="PKZ11" s="13"/>
      <c r="PLB11" s="13"/>
      <c r="PLD11" s="13"/>
      <c r="PLF11" s="13"/>
      <c r="PLH11" s="13"/>
      <c r="PLJ11" s="13"/>
      <c r="PLL11" s="13"/>
      <c r="PLN11" s="13"/>
      <c r="PLP11" s="13"/>
      <c r="PLR11" s="13"/>
      <c r="PLT11" s="13"/>
      <c r="PLV11" s="13"/>
      <c r="PLX11" s="13"/>
      <c r="PLZ11" s="13"/>
      <c r="PMB11" s="13"/>
      <c r="PMD11" s="13"/>
      <c r="PMF11" s="13"/>
      <c r="PMH11" s="13"/>
      <c r="PMJ11" s="13"/>
      <c r="PML11" s="13"/>
      <c r="PMN11" s="13"/>
      <c r="PMP11" s="13"/>
      <c r="PMR11" s="13"/>
      <c r="PMT11" s="13"/>
      <c r="PMV11" s="13"/>
      <c r="PMX11" s="13"/>
      <c r="PMZ11" s="13"/>
      <c r="PNB11" s="13"/>
      <c r="PND11" s="13"/>
      <c r="PNF11" s="13"/>
      <c r="PNH11" s="13"/>
      <c r="PNJ11" s="13"/>
      <c r="PNL11" s="13"/>
      <c r="PNN11" s="13"/>
      <c r="PNP11" s="13"/>
      <c r="PNR11" s="13"/>
      <c r="PNT11" s="13"/>
      <c r="PNV11" s="13"/>
      <c r="PNX11" s="13"/>
      <c r="PNZ11" s="13"/>
      <c r="POB11" s="13"/>
      <c r="POD11" s="13"/>
      <c r="POF11" s="13"/>
      <c r="POH11" s="13"/>
      <c r="POJ11" s="13"/>
      <c r="POL11" s="13"/>
      <c r="PON11" s="13"/>
      <c r="POP11" s="13"/>
      <c r="POR11" s="13"/>
      <c r="POT11" s="13"/>
      <c r="POV11" s="13"/>
      <c r="POX11" s="13"/>
      <c r="POZ11" s="13"/>
      <c r="PPB11" s="13"/>
      <c r="PPD11" s="13"/>
      <c r="PPF11" s="13"/>
      <c r="PPH11" s="13"/>
      <c r="PPJ11" s="13"/>
      <c r="PPL11" s="13"/>
      <c r="PPN11" s="13"/>
      <c r="PPP11" s="13"/>
      <c r="PPR11" s="13"/>
      <c r="PPT11" s="13"/>
      <c r="PPV11" s="13"/>
      <c r="PPX11" s="13"/>
      <c r="PPZ11" s="13"/>
      <c r="PQB11" s="13"/>
      <c r="PQD11" s="13"/>
      <c r="PQF11" s="13"/>
      <c r="PQH11" s="13"/>
      <c r="PQJ11" s="13"/>
      <c r="PQL11" s="13"/>
      <c r="PQN11" s="13"/>
      <c r="PQP11" s="13"/>
      <c r="PQR11" s="13"/>
      <c r="PQT11" s="13"/>
      <c r="PQV11" s="13"/>
      <c r="PQX11" s="13"/>
      <c r="PQZ11" s="13"/>
      <c r="PRB11" s="13"/>
      <c r="PRD11" s="13"/>
      <c r="PRF11" s="13"/>
      <c r="PRH11" s="13"/>
      <c r="PRJ11" s="13"/>
      <c r="PRL11" s="13"/>
      <c r="PRN11" s="13"/>
      <c r="PRP11" s="13"/>
      <c r="PRR11" s="13"/>
      <c r="PRT11" s="13"/>
      <c r="PRV11" s="13"/>
      <c r="PRX11" s="13"/>
      <c r="PRZ11" s="13"/>
      <c r="PSB11" s="13"/>
      <c r="PSD11" s="13"/>
      <c r="PSF11" s="13"/>
      <c r="PSH11" s="13"/>
      <c r="PSJ11" s="13"/>
      <c r="PSL11" s="13"/>
      <c r="PSN11" s="13"/>
      <c r="PSP11" s="13"/>
      <c r="PSR11" s="13"/>
      <c r="PST11" s="13"/>
      <c r="PSV11" s="13"/>
      <c r="PSX11" s="13"/>
      <c r="PSZ11" s="13"/>
      <c r="PTB11" s="13"/>
      <c r="PTD11" s="13"/>
      <c r="PTF11" s="13"/>
      <c r="PTH11" s="13"/>
      <c r="PTJ11" s="13"/>
      <c r="PTL11" s="13"/>
      <c r="PTN11" s="13"/>
      <c r="PTP11" s="13"/>
      <c r="PTR11" s="13"/>
      <c r="PTT11" s="13"/>
      <c r="PTV11" s="13"/>
      <c r="PTX11" s="13"/>
      <c r="PTZ11" s="13"/>
      <c r="PUB11" s="13"/>
      <c r="PUD11" s="13"/>
      <c r="PUF11" s="13"/>
      <c r="PUH11" s="13"/>
      <c r="PUJ11" s="13"/>
      <c r="PUL11" s="13"/>
      <c r="PUN11" s="13"/>
      <c r="PUP11" s="13"/>
      <c r="PUR11" s="13"/>
      <c r="PUT11" s="13"/>
      <c r="PUV11" s="13"/>
      <c r="PUX11" s="13"/>
      <c r="PUZ11" s="13"/>
      <c r="PVB11" s="13"/>
      <c r="PVD11" s="13"/>
      <c r="PVF11" s="13"/>
      <c r="PVH11" s="13"/>
      <c r="PVJ11" s="13"/>
      <c r="PVL11" s="13"/>
      <c r="PVN11" s="13"/>
      <c r="PVP11" s="13"/>
      <c r="PVR11" s="13"/>
      <c r="PVT11" s="13"/>
      <c r="PVV11" s="13"/>
      <c r="PVX11" s="13"/>
      <c r="PVZ11" s="13"/>
      <c r="PWB11" s="13"/>
      <c r="PWD11" s="13"/>
      <c r="PWF11" s="13"/>
      <c r="PWH11" s="13"/>
      <c r="PWJ11" s="13"/>
      <c r="PWL11" s="13"/>
      <c r="PWN11" s="13"/>
      <c r="PWP11" s="13"/>
      <c r="PWR11" s="13"/>
      <c r="PWT11" s="13"/>
      <c r="PWV11" s="13"/>
      <c r="PWX11" s="13"/>
      <c r="PWZ11" s="13"/>
      <c r="PXB11" s="13"/>
      <c r="PXD11" s="13"/>
      <c r="PXF11" s="13"/>
      <c r="PXH11" s="13"/>
      <c r="PXJ11" s="13"/>
      <c r="PXL11" s="13"/>
      <c r="PXN11" s="13"/>
      <c r="PXP11" s="13"/>
      <c r="PXR11" s="13"/>
      <c r="PXT11" s="13"/>
      <c r="PXV11" s="13"/>
      <c r="PXX11" s="13"/>
      <c r="PXZ11" s="13"/>
      <c r="PYB11" s="13"/>
      <c r="PYD11" s="13"/>
      <c r="PYF11" s="13"/>
      <c r="PYH11" s="13"/>
      <c r="PYJ11" s="13"/>
      <c r="PYL11" s="13"/>
      <c r="PYN11" s="13"/>
      <c r="PYP11" s="13"/>
      <c r="PYR11" s="13"/>
      <c r="PYT11" s="13"/>
      <c r="PYV11" s="13"/>
      <c r="PYX11" s="13"/>
      <c r="PYZ11" s="13"/>
      <c r="PZB11" s="13"/>
      <c r="PZD11" s="13"/>
      <c r="PZF11" s="13"/>
      <c r="PZH11" s="13"/>
      <c r="PZJ11" s="13"/>
      <c r="PZL11" s="13"/>
      <c r="PZN11" s="13"/>
      <c r="PZP11" s="13"/>
      <c r="PZR11" s="13"/>
      <c r="PZT11" s="13"/>
      <c r="PZV11" s="13"/>
      <c r="PZX11" s="13"/>
      <c r="PZZ11" s="13"/>
      <c r="QAB11" s="13"/>
      <c r="QAD11" s="13"/>
      <c r="QAF11" s="13"/>
      <c r="QAH11" s="13"/>
      <c r="QAJ11" s="13"/>
      <c r="QAL11" s="13"/>
      <c r="QAN11" s="13"/>
      <c r="QAP11" s="13"/>
      <c r="QAR11" s="13"/>
      <c r="QAT11" s="13"/>
      <c r="QAV11" s="13"/>
      <c r="QAX11" s="13"/>
      <c r="QAZ11" s="13"/>
      <c r="QBB11" s="13"/>
      <c r="QBD11" s="13"/>
      <c r="QBF11" s="13"/>
      <c r="QBH11" s="13"/>
      <c r="QBJ11" s="13"/>
      <c r="QBL11" s="13"/>
      <c r="QBN11" s="13"/>
      <c r="QBP11" s="13"/>
      <c r="QBR11" s="13"/>
      <c r="QBT11" s="13"/>
      <c r="QBV11" s="13"/>
      <c r="QBX11" s="13"/>
      <c r="QBZ11" s="13"/>
      <c r="QCB11" s="13"/>
      <c r="QCD11" s="13"/>
      <c r="QCF11" s="13"/>
      <c r="QCH11" s="13"/>
      <c r="QCJ11" s="13"/>
      <c r="QCL11" s="13"/>
      <c r="QCN11" s="13"/>
      <c r="QCP11" s="13"/>
      <c r="QCR11" s="13"/>
      <c r="QCT11" s="13"/>
      <c r="QCV11" s="13"/>
      <c r="QCX11" s="13"/>
      <c r="QCZ11" s="13"/>
      <c r="QDB11" s="13"/>
      <c r="QDD11" s="13"/>
      <c r="QDF11" s="13"/>
      <c r="QDH11" s="13"/>
      <c r="QDJ11" s="13"/>
      <c r="QDL11" s="13"/>
      <c r="QDN11" s="13"/>
      <c r="QDP11" s="13"/>
      <c r="QDR11" s="13"/>
      <c r="QDT11" s="13"/>
      <c r="QDV11" s="13"/>
      <c r="QDX11" s="13"/>
      <c r="QDZ11" s="13"/>
      <c r="QEB11" s="13"/>
      <c r="QED11" s="13"/>
      <c r="QEF11" s="13"/>
      <c r="QEH11" s="13"/>
      <c r="QEJ11" s="13"/>
      <c r="QEL11" s="13"/>
      <c r="QEN11" s="13"/>
      <c r="QEP11" s="13"/>
      <c r="QER11" s="13"/>
      <c r="QET11" s="13"/>
      <c r="QEV11" s="13"/>
      <c r="QEX11" s="13"/>
      <c r="QEZ11" s="13"/>
      <c r="QFB11" s="13"/>
      <c r="QFD11" s="13"/>
      <c r="QFF11" s="13"/>
      <c r="QFH11" s="13"/>
      <c r="QFJ11" s="13"/>
      <c r="QFL11" s="13"/>
      <c r="QFN11" s="13"/>
      <c r="QFP11" s="13"/>
      <c r="QFR11" s="13"/>
      <c r="QFT11" s="13"/>
      <c r="QFV11" s="13"/>
      <c r="QFX11" s="13"/>
      <c r="QFZ11" s="13"/>
      <c r="QGB11" s="13"/>
      <c r="QGD11" s="13"/>
      <c r="QGF11" s="13"/>
      <c r="QGH11" s="13"/>
      <c r="QGJ11" s="13"/>
      <c r="QGL11" s="13"/>
      <c r="QGN11" s="13"/>
      <c r="QGP11" s="13"/>
      <c r="QGR11" s="13"/>
      <c r="QGT11" s="13"/>
      <c r="QGV11" s="13"/>
      <c r="QGX11" s="13"/>
      <c r="QGZ11" s="13"/>
      <c r="QHB11" s="13"/>
      <c r="QHD11" s="13"/>
      <c r="QHF11" s="13"/>
      <c r="QHH11" s="13"/>
      <c r="QHJ11" s="13"/>
      <c r="QHL11" s="13"/>
      <c r="QHN11" s="13"/>
      <c r="QHP11" s="13"/>
      <c r="QHR11" s="13"/>
      <c r="QHT11" s="13"/>
      <c r="QHV11" s="13"/>
      <c r="QHX11" s="13"/>
      <c r="QHZ11" s="13"/>
      <c r="QIB11" s="13"/>
      <c r="QID11" s="13"/>
      <c r="QIF11" s="13"/>
      <c r="QIH11" s="13"/>
      <c r="QIJ11" s="13"/>
      <c r="QIL11" s="13"/>
      <c r="QIN11" s="13"/>
      <c r="QIP11" s="13"/>
      <c r="QIR11" s="13"/>
      <c r="QIT11" s="13"/>
      <c r="QIV11" s="13"/>
      <c r="QIX11" s="13"/>
      <c r="QIZ11" s="13"/>
      <c r="QJB11" s="13"/>
      <c r="QJD11" s="13"/>
      <c r="QJF11" s="13"/>
      <c r="QJH11" s="13"/>
      <c r="QJJ11" s="13"/>
      <c r="QJL11" s="13"/>
      <c r="QJN11" s="13"/>
      <c r="QJP11" s="13"/>
      <c r="QJR11" s="13"/>
      <c r="QJT11" s="13"/>
      <c r="QJV11" s="13"/>
      <c r="QJX11" s="13"/>
      <c r="QJZ11" s="13"/>
      <c r="QKB11" s="13"/>
      <c r="QKD11" s="13"/>
      <c r="QKF11" s="13"/>
      <c r="QKH11" s="13"/>
      <c r="QKJ11" s="13"/>
      <c r="QKL11" s="13"/>
      <c r="QKN11" s="13"/>
      <c r="QKP11" s="13"/>
      <c r="QKR11" s="13"/>
      <c r="QKT11" s="13"/>
      <c r="QKV11" s="13"/>
      <c r="QKX11" s="13"/>
      <c r="QKZ11" s="13"/>
      <c r="QLB11" s="13"/>
      <c r="QLD11" s="13"/>
      <c r="QLF11" s="13"/>
      <c r="QLH11" s="13"/>
      <c r="QLJ11" s="13"/>
      <c r="QLL11" s="13"/>
      <c r="QLN11" s="13"/>
      <c r="QLP11" s="13"/>
      <c r="QLR11" s="13"/>
      <c r="QLT11" s="13"/>
      <c r="QLV11" s="13"/>
      <c r="QLX11" s="13"/>
      <c r="QLZ11" s="13"/>
      <c r="QMB11" s="13"/>
      <c r="QMD11" s="13"/>
      <c r="QMF11" s="13"/>
      <c r="QMH11" s="13"/>
      <c r="QMJ11" s="13"/>
      <c r="QML11" s="13"/>
      <c r="QMN11" s="13"/>
      <c r="QMP11" s="13"/>
      <c r="QMR11" s="13"/>
      <c r="QMT11" s="13"/>
      <c r="QMV11" s="13"/>
      <c r="QMX11" s="13"/>
      <c r="QMZ11" s="13"/>
      <c r="QNB11" s="13"/>
      <c r="QND11" s="13"/>
      <c r="QNF11" s="13"/>
      <c r="QNH11" s="13"/>
      <c r="QNJ11" s="13"/>
      <c r="QNL11" s="13"/>
      <c r="QNN11" s="13"/>
      <c r="QNP11" s="13"/>
      <c r="QNR11" s="13"/>
      <c r="QNT11" s="13"/>
      <c r="QNV11" s="13"/>
      <c r="QNX11" s="13"/>
      <c r="QNZ11" s="13"/>
      <c r="QOB11" s="13"/>
      <c r="QOD11" s="13"/>
      <c r="QOF11" s="13"/>
      <c r="QOH11" s="13"/>
      <c r="QOJ11" s="13"/>
      <c r="QOL11" s="13"/>
      <c r="QON11" s="13"/>
      <c r="QOP11" s="13"/>
      <c r="QOR11" s="13"/>
      <c r="QOT11" s="13"/>
      <c r="QOV11" s="13"/>
      <c r="QOX11" s="13"/>
      <c r="QOZ11" s="13"/>
      <c r="QPB11" s="13"/>
      <c r="QPD11" s="13"/>
      <c r="QPF11" s="13"/>
      <c r="QPH11" s="13"/>
      <c r="QPJ11" s="13"/>
      <c r="QPL11" s="13"/>
      <c r="QPN11" s="13"/>
      <c r="QPP11" s="13"/>
      <c r="QPR11" s="13"/>
      <c r="QPT11" s="13"/>
      <c r="QPV11" s="13"/>
      <c r="QPX11" s="13"/>
      <c r="QPZ11" s="13"/>
      <c r="QQB11" s="13"/>
      <c r="QQD11" s="13"/>
      <c r="QQF11" s="13"/>
      <c r="QQH11" s="13"/>
      <c r="QQJ11" s="13"/>
      <c r="QQL11" s="13"/>
      <c r="QQN11" s="13"/>
      <c r="QQP11" s="13"/>
      <c r="QQR11" s="13"/>
      <c r="QQT11" s="13"/>
      <c r="QQV11" s="13"/>
      <c r="QQX11" s="13"/>
      <c r="QQZ11" s="13"/>
      <c r="QRB11" s="13"/>
      <c r="QRD11" s="13"/>
      <c r="QRF11" s="13"/>
      <c r="QRH11" s="13"/>
      <c r="QRJ11" s="13"/>
      <c r="QRL11" s="13"/>
      <c r="QRN11" s="13"/>
      <c r="QRP11" s="13"/>
      <c r="QRR11" s="13"/>
      <c r="QRT11" s="13"/>
      <c r="QRV11" s="13"/>
      <c r="QRX11" s="13"/>
      <c r="QRZ11" s="13"/>
      <c r="QSB11" s="13"/>
      <c r="QSD11" s="13"/>
      <c r="QSF11" s="13"/>
      <c r="QSH11" s="13"/>
      <c r="QSJ11" s="13"/>
      <c r="QSL11" s="13"/>
      <c r="QSN11" s="13"/>
      <c r="QSP11" s="13"/>
      <c r="QSR11" s="13"/>
      <c r="QST11" s="13"/>
      <c r="QSV11" s="13"/>
      <c r="QSX11" s="13"/>
      <c r="QSZ11" s="13"/>
      <c r="QTB11" s="13"/>
      <c r="QTD11" s="13"/>
      <c r="QTF11" s="13"/>
      <c r="QTH11" s="13"/>
      <c r="QTJ11" s="13"/>
      <c r="QTL11" s="13"/>
      <c r="QTN11" s="13"/>
      <c r="QTP11" s="13"/>
      <c r="QTR11" s="13"/>
      <c r="QTT11" s="13"/>
      <c r="QTV11" s="13"/>
      <c r="QTX11" s="13"/>
      <c r="QTZ11" s="13"/>
      <c r="QUB11" s="13"/>
      <c r="QUD11" s="13"/>
      <c r="QUF11" s="13"/>
      <c r="QUH11" s="13"/>
      <c r="QUJ11" s="13"/>
      <c r="QUL11" s="13"/>
      <c r="QUN11" s="13"/>
      <c r="QUP11" s="13"/>
      <c r="QUR11" s="13"/>
      <c r="QUT11" s="13"/>
      <c r="QUV11" s="13"/>
      <c r="QUX11" s="13"/>
      <c r="QUZ11" s="13"/>
      <c r="QVB11" s="13"/>
      <c r="QVD11" s="13"/>
      <c r="QVF11" s="13"/>
      <c r="QVH11" s="13"/>
      <c r="QVJ11" s="13"/>
      <c r="QVL11" s="13"/>
      <c r="QVN11" s="13"/>
      <c r="QVP11" s="13"/>
      <c r="QVR11" s="13"/>
      <c r="QVT11" s="13"/>
      <c r="QVV11" s="13"/>
      <c r="QVX11" s="13"/>
      <c r="QVZ11" s="13"/>
      <c r="QWB11" s="13"/>
      <c r="QWD11" s="13"/>
      <c r="QWF11" s="13"/>
      <c r="QWH11" s="13"/>
      <c r="QWJ11" s="13"/>
      <c r="QWL11" s="13"/>
      <c r="QWN11" s="13"/>
      <c r="QWP11" s="13"/>
      <c r="QWR11" s="13"/>
      <c r="QWT11" s="13"/>
      <c r="QWV11" s="13"/>
      <c r="QWX11" s="13"/>
      <c r="QWZ11" s="13"/>
      <c r="QXB11" s="13"/>
      <c r="QXD11" s="13"/>
      <c r="QXF11" s="13"/>
      <c r="QXH11" s="13"/>
      <c r="QXJ11" s="13"/>
      <c r="QXL11" s="13"/>
      <c r="QXN11" s="13"/>
      <c r="QXP11" s="13"/>
      <c r="QXR11" s="13"/>
      <c r="QXT11" s="13"/>
      <c r="QXV11" s="13"/>
      <c r="QXX11" s="13"/>
      <c r="QXZ11" s="13"/>
      <c r="QYB11" s="13"/>
      <c r="QYD11" s="13"/>
      <c r="QYF11" s="13"/>
      <c r="QYH11" s="13"/>
      <c r="QYJ11" s="13"/>
      <c r="QYL11" s="13"/>
      <c r="QYN11" s="13"/>
      <c r="QYP11" s="13"/>
      <c r="QYR11" s="13"/>
      <c r="QYT11" s="13"/>
      <c r="QYV11" s="13"/>
      <c r="QYX11" s="13"/>
      <c r="QYZ11" s="13"/>
      <c r="QZB11" s="13"/>
      <c r="QZD11" s="13"/>
      <c r="QZF11" s="13"/>
      <c r="QZH11" s="13"/>
      <c r="QZJ11" s="13"/>
      <c r="QZL11" s="13"/>
      <c r="QZN11" s="13"/>
      <c r="QZP11" s="13"/>
      <c r="QZR11" s="13"/>
      <c r="QZT11" s="13"/>
      <c r="QZV11" s="13"/>
      <c r="QZX11" s="13"/>
      <c r="QZZ11" s="13"/>
      <c r="RAB11" s="13"/>
      <c r="RAD11" s="13"/>
      <c r="RAF11" s="13"/>
      <c r="RAH11" s="13"/>
      <c r="RAJ11" s="13"/>
      <c r="RAL11" s="13"/>
      <c r="RAN11" s="13"/>
      <c r="RAP11" s="13"/>
      <c r="RAR11" s="13"/>
      <c r="RAT11" s="13"/>
      <c r="RAV11" s="13"/>
      <c r="RAX11" s="13"/>
      <c r="RAZ11" s="13"/>
      <c r="RBB11" s="13"/>
      <c r="RBD11" s="13"/>
      <c r="RBF11" s="13"/>
      <c r="RBH11" s="13"/>
      <c r="RBJ11" s="13"/>
      <c r="RBL11" s="13"/>
      <c r="RBN11" s="13"/>
      <c r="RBP11" s="13"/>
      <c r="RBR11" s="13"/>
      <c r="RBT11" s="13"/>
      <c r="RBV11" s="13"/>
      <c r="RBX11" s="13"/>
      <c r="RBZ11" s="13"/>
      <c r="RCB11" s="13"/>
      <c r="RCD11" s="13"/>
      <c r="RCF11" s="13"/>
      <c r="RCH11" s="13"/>
      <c r="RCJ11" s="13"/>
      <c r="RCL11" s="13"/>
      <c r="RCN11" s="13"/>
      <c r="RCP11" s="13"/>
      <c r="RCR11" s="13"/>
      <c r="RCT11" s="13"/>
      <c r="RCV11" s="13"/>
      <c r="RCX11" s="13"/>
      <c r="RCZ11" s="13"/>
      <c r="RDB11" s="13"/>
      <c r="RDD11" s="13"/>
      <c r="RDF11" s="13"/>
      <c r="RDH11" s="13"/>
      <c r="RDJ11" s="13"/>
      <c r="RDL11" s="13"/>
      <c r="RDN11" s="13"/>
      <c r="RDP11" s="13"/>
      <c r="RDR11" s="13"/>
      <c r="RDT11" s="13"/>
      <c r="RDV11" s="13"/>
      <c r="RDX11" s="13"/>
      <c r="RDZ11" s="13"/>
      <c r="REB11" s="13"/>
      <c r="RED11" s="13"/>
      <c r="REF11" s="13"/>
      <c r="REH11" s="13"/>
      <c r="REJ11" s="13"/>
      <c r="REL11" s="13"/>
      <c r="REN11" s="13"/>
      <c r="REP11" s="13"/>
      <c r="RER11" s="13"/>
      <c r="RET11" s="13"/>
      <c r="REV11" s="13"/>
      <c r="REX11" s="13"/>
      <c r="REZ11" s="13"/>
      <c r="RFB11" s="13"/>
      <c r="RFD11" s="13"/>
      <c r="RFF11" s="13"/>
      <c r="RFH11" s="13"/>
      <c r="RFJ11" s="13"/>
      <c r="RFL11" s="13"/>
      <c r="RFN11" s="13"/>
      <c r="RFP11" s="13"/>
      <c r="RFR11" s="13"/>
      <c r="RFT11" s="13"/>
      <c r="RFV11" s="13"/>
      <c r="RFX11" s="13"/>
      <c r="RFZ11" s="13"/>
      <c r="RGB11" s="13"/>
      <c r="RGD11" s="13"/>
      <c r="RGF11" s="13"/>
      <c r="RGH11" s="13"/>
      <c r="RGJ11" s="13"/>
      <c r="RGL11" s="13"/>
      <c r="RGN11" s="13"/>
      <c r="RGP11" s="13"/>
      <c r="RGR11" s="13"/>
      <c r="RGT11" s="13"/>
      <c r="RGV11" s="13"/>
      <c r="RGX11" s="13"/>
      <c r="RGZ11" s="13"/>
      <c r="RHB11" s="13"/>
      <c r="RHD11" s="13"/>
      <c r="RHF11" s="13"/>
      <c r="RHH11" s="13"/>
      <c r="RHJ11" s="13"/>
      <c r="RHL11" s="13"/>
      <c r="RHN11" s="13"/>
      <c r="RHP11" s="13"/>
      <c r="RHR11" s="13"/>
      <c r="RHT11" s="13"/>
      <c r="RHV11" s="13"/>
      <c r="RHX11" s="13"/>
      <c r="RHZ11" s="13"/>
      <c r="RIB11" s="13"/>
      <c r="RID11" s="13"/>
      <c r="RIF11" s="13"/>
      <c r="RIH11" s="13"/>
      <c r="RIJ11" s="13"/>
      <c r="RIL11" s="13"/>
      <c r="RIN11" s="13"/>
      <c r="RIP11" s="13"/>
      <c r="RIR11" s="13"/>
      <c r="RIT11" s="13"/>
      <c r="RIV11" s="13"/>
      <c r="RIX11" s="13"/>
      <c r="RIZ11" s="13"/>
      <c r="RJB11" s="13"/>
      <c r="RJD11" s="13"/>
      <c r="RJF11" s="13"/>
      <c r="RJH11" s="13"/>
      <c r="RJJ11" s="13"/>
      <c r="RJL11" s="13"/>
      <c r="RJN11" s="13"/>
      <c r="RJP11" s="13"/>
      <c r="RJR11" s="13"/>
      <c r="RJT11" s="13"/>
      <c r="RJV11" s="13"/>
      <c r="RJX11" s="13"/>
      <c r="RJZ11" s="13"/>
      <c r="RKB11" s="13"/>
      <c r="RKD11" s="13"/>
      <c r="RKF11" s="13"/>
      <c r="RKH11" s="13"/>
      <c r="RKJ11" s="13"/>
      <c r="RKL11" s="13"/>
      <c r="RKN11" s="13"/>
      <c r="RKP11" s="13"/>
      <c r="RKR11" s="13"/>
      <c r="RKT11" s="13"/>
      <c r="RKV11" s="13"/>
      <c r="RKX11" s="13"/>
      <c r="RKZ11" s="13"/>
      <c r="RLB11" s="13"/>
      <c r="RLD11" s="13"/>
      <c r="RLF11" s="13"/>
      <c r="RLH11" s="13"/>
      <c r="RLJ11" s="13"/>
      <c r="RLL11" s="13"/>
      <c r="RLN11" s="13"/>
      <c r="RLP11" s="13"/>
      <c r="RLR11" s="13"/>
      <c r="RLT11" s="13"/>
      <c r="RLV11" s="13"/>
      <c r="RLX11" s="13"/>
      <c r="RLZ11" s="13"/>
      <c r="RMB11" s="13"/>
      <c r="RMD11" s="13"/>
      <c r="RMF11" s="13"/>
      <c r="RMH11" s="13"/>
      <c r="RMJ11" s="13"/>
      <c r="RML11" s="13"/>
      <c r="RMN11" s="13"/>
      <c r="RMP11" s="13"/>
      <c r="RMR11" s="13"/>
      <c r="RMT11" s="13"/>
      <c r="RMV11" s="13"/>
      <c r="RMX11" s="13"/>
      <c r="RMZ11" s="13"/>
      <c r="RNB11" s="13"/>
      <c r="RND11" s="13"/>
      <c r="RNF11" s="13"/>
      <c r="RNH11" s="13"/>
      <c r="RNJ11" s="13"/>
      <c r="RNL11" s="13"/>
      <c r="RNN11" s="13"/>
      <c r="RNP11" s="13"/>
      <c r="RNR11" s="13"/>
      <c r="RNT11" s="13"/>
      <c r="RNV11" s="13"/>
      <c r="RNX11" s="13"/>
      <c r="RNZ11" s="13"/>
      <c r="ROB11" s="13"/>
      <c r="ROD11" s="13"/>
      <c r="ROF11" s="13"/>
      <c r="ROH11" s="13"/>
      <c r="ROJ11" s="13"/>
      <c r="ROL11" s="13"/>
      <c r="RON11" s="13"/>
      <c r="ROP11" s="13"/>
      <c r="ROR11" s="13"/>
      <c r="ROT11" s="13"/>
      <c r="ROV11" s="13"/>
      <c r="ROX11" s="13"/>
      <c r="ROZ11" s="13"/>
      <c r="RPB11" s="13"/>
      <c r="RPD11" s="13"/>
      <c r="RPF11" s="13"/>
      <c r="RPH11" s="13"/>
      <c r="RPJ11" s="13"/>
      <c r="RPL11" s="13"/>
      <c r="RPN11" s="13"/>
      <c r="RPP11" s="13"/>
      <c r="RPR11" s="13"/>
      <c r="RPT11" s="13"/>
      <c r="RPV11" s="13"/>
      <c r="RPX11" s="13"/>
      <c r="RPZ11" s="13"/>
      <c r="RQB11" s="13"/>
      <c r="RQD11" s="13"/>
      <c r="RQF11" s="13"/>
      <c r="RQH11" s="13"/>
      <c r="RQJ11" s="13"/>
      <c r="RQL11" s="13"/>
      <c r="RQN11" s="13"/>
      <c r="RQP11" s="13"/>
      <c r="RQR11" s="13"/>
      <c r="RQT11" s="13"/>
      <c r="RQV11" s="13"/>
      <c r="RQX11" s="13"/>
      <c r="RQZ11" s="13"/>
      <c r="RRB11" s="13"/>
      <c r="RRD11" s="13"/>
      <c r="RRF11" s="13"/>
      <c r="RRH11" s="13"/>
      <c r="RRJ11" s="13"/>
      <c r="RRL11" s="13"/>
      <c r="RRN11" s="13"/>
      <c r="RRP11" s="13"/>
      <c r="RRR11" s="13"/>
      <c r="RRT11" s="13"/>
      <c r="RRV11" s="13"/>
      <c r="RRX11" s="13"/>
      <c r="RRZ11" s="13"/>
      <c r="RSB11" s="13"/>
      <c r="RSD11" s="13"/>
      <c r="RSF11" s="13"/>
      <c r="RSH11" s="13"/>
      <c r="RSJ11" s="13"/>
      <c r="RSL11" s="13"/>
      <c r="RSN11" s="13"/>
      <c r="RSP11" s="13"/>
      <c r="RSR11" s="13"/>
      <c r="RST11" s="13"/>
      <c r="RSV11" s="13"/>
      <c r="RSX11" s="13"/>
      <c r="RSZ11" s="13"/>
      <c r="RTB11" s="13"/>
      <c r="RTD11" s="13"/>
      <c r="RTF11" s="13"/>
      <c r="RTH11" s="13"/>
      <c r="RTJ11" s="13"/>
      <c r="RTL11" s="13"/>
      <c r="RTN11" s="13"/>
      <c r="RTP11" s="13"/>
      <c r="RTR11" s="13"/>
      <c r="RTT11" s="13"/>
      <c r="RTV11" s="13"/>
      <c r="RTX11" s="13"/>
      <c r="RTZ11" s="13"/>
      <c r="RUB11" s="13"/>
      <c r="RUD11" s="13"/>
      <c r="RUF11" s="13"/>
      <c r="RUH11" s="13"/>
      <c r="RUJ11" s="13"/>
      <c r="RUL11" s="13"/>
      <c r="RUN11" s="13"/>
      <c r="RUP11" s="13"/>
      <c r="RUR11" s="13"/>
      <c r="RUT11" s="13"/>
      <c r="RUV11" s="13"/>
      <c r="RUX11" s="13"/>
      <c r="RUZ11" s="13"/>
      <c r="RVB11" s="13"/>
      <c r="RVD11" s="13"/>
      <c r="RVF11" s="13"/>
      <c r="RVH11" s="13"/>
      <c r="RVJ11" s="13"/>
      <c r="RVL11" s="13"/>
      <c r="RVN11" s="13"/>
      <c r="RVP11" s="13"/>
      <c r="RVR11" s="13"/>
      <c r="RVT11" s="13"/>
      <c r="RVV11" s="13"/>
      <c r="RVX11" s="13"/>
      <c r="RVZ11" s="13"/>
      <c r="RWB11" s="13"/>
      <c r="RWD11" s="13"/>
      <c r="RWF11" s="13"/>
      <c r="RWH11" s="13"/>
      <c r="RWJ11" s="13"/>
      <c r="RWL11" s="13"/>
      <c r="RWN11" s="13"/>
      <c r="RWP11" s="13"/>
      <c r="RWR11" s="13"/>
      <c r="RWT11" s="13"/>
      <c r="RWV11" s="13"/>
      <c r="RWX11" s="13"/>
      <c r="RWZ11" s="13"/>
      <c r="RXB11" s="13"/>
      <c r="RXD11" s="13"/>
      <c r="RXF11" s="13"/>
      <c r="RXH11" s="13"/>
      <c r="RXJ11" s="13"/>
      <c r="RXL11" s="13"/>
      <c r="RXN11" s="13"/>
      <c r="RXP11" s="13"/>
      <c r="RXR11" s="13"/>
      <c r="RXT11" s="13"/>
      <c r="RXV11" s="13"/>
      <c r="RXX11" s="13"/>
      <c r="RXZ11" s="13"/>
      <c r="RYB11" s="13"/>
      <c r="RYD11" s="13"/>
      <c r="RYF11" s="13"/>
      <c r="RYH11" s="13"/>
      <c r="RYJ11" s="13"/>
      <c r="RYL11" s="13"/>
      <c r="RYN11" s="13"/>
      <c r="RYP11" s="13"/>
      <c r="RYR11" s="13"/>
      <c r="RYT11" s="13"/>
      <c r="RYV11" s="13"/>
      <c r="RYX11" s="13"/>
      <c r="RYZ11" s="13"/>
      <c r="RZB11" s="13"/>
      <c r="RZD11" s="13"/>
      <c r="RZF11" s="13"/>
      <c r="RZH11" s="13"/>
      <c r="RZJ11" s="13"/>
      <c r="RZL11" s="13"/>
      <c r="RZN11" s="13"/>
      <c r="RZP11" s="13"/>
      <c r="RZR11" s="13"/>
      <c r="RZT11" s="13"/>
      <c r="RZV11" s="13"/>
      <c r="RZX11" s="13"/>
      <c r="RZZ11" s="13"/>
      <c r="SAB11" s="13"/>
      <c r="SAD11" s="13"/>
      <c r="SAF11" s="13"/>
      <c r="SAH11" s="13"/>
      <c r="SAJ11" s="13"/>
      <c r="SAL11" s="13"/>
      <c r="SAN11" s="13"/>
      <c r="SAP11" s="13"/>
      <c r="SAR11" s="13"/>
      <c r="SAT11" s="13"/>
      <c r="SAV11" s="13"/>
      <c r="SAX11" s="13"/>
      <c r="SAZ11" s="13"/>
      <c r="SBB11" s="13"/>
      <c r="SBD11" s="13"/>
      <c r="SBF11" s="13"/>
      <c r="SBH11" s="13"/>
      <c r="SBJ11" s="13"/>
      <c r="SBL11" s="13"/>
      <c r="SBN11" s="13"/>
      <c r="SBP11" s="13"/>
      <c r="SBR11" s="13"/>
      <c r="SBT11" s="13"/>
      <c r="SBV11" s="13"/>
      <c r="SBX11" s="13"/>
      <c r="SBZ11" s="13"/>
      <c r="SCB11" s="13"/>
      <c r="SCD11" s="13"/>
      <c r="SCF11" s="13"/>
      <c r="SCH11" s="13"/>
      <c r="SCJ11" s="13"/>
      <c r="SCL11" s="13"/>
      <c r="SCN11" s="13"/>
      <c r="SCP11" s="13"/>
      <c r="SCR11" s="13"/>
      <c r="SCT11" s="13"/>
      <c r="SCV11" s="13"/>
      <c r="SCX11" s="13"/>
      <c r="SCZ11" s="13"/>
      <c r="SDB11" s="13"/>
      <c r="SDD11" s="13"/>
      <c r="SDF11" s="13"/>
      <c r="SDH11" s="13"/>
      <c r="SDJ11" s="13"/>
      <c r="SDL11" s="13"/>
      <c r="SDN11" s="13"/>
      <c r="SDP11" s="13"/>
      <c r="SDR11" s="13"/>
      <c r="SDT11" s="13"/>
      <c r="SDV11" s="13"/>
      <c r="SDX11" s="13"/>
      <c r="SDZ11" s="13"/>
      <c r="SEB11" s="13"/>
      <c r="SED11" s="13"/>
      <c r="SEF11" s="13"/>
      <c r="SEH11" s="13"/>
      <c r="SEJ11" s="13"/>
      <c r="SEL11" s="13"/>
      <c r="SEN11" s="13"/>
      <c r="SEP11" s="13"/>
      <c r="SER11" s="13"/>
      <c r="SET11" s="13"/>
      <c r="SEV11" s="13"/>
      <c r="SEX11" s="13"/>
      <c r="SEZ11" s="13"/>
      <c r="SFB11" s="13"/>
      <c r="SFD11" s="13"/>
      <c r="SFF11" s="13"/>
      <c r="SFH11" s="13"/>
      <c r="SFJ11" s="13"/>
      <c r="SFL11" s="13"/>
      <c r="SFN11" s="13"/>
      <c r="SFP11" s="13"/>
      <c r="SFR11" s="13"/>
      <c r="SFT11" s="13"/>
      <c r="SFV11" s="13"/>
      <c r="SFX11" s="13"/>
      <c r="SFZ11" s="13"/>
      <c r="SGB11" s="13"/>
      <c r="SGD11" s="13"/>
      <c r="SGF11" s="13"/>
      <c r="SGH11" s="13"/>
      <c r="SGJ11" s="13"/>
      <c r="SGL11" s="13"/>
      <c r="SGN11" s="13"/>
      <c r="SGP11" s="13"/>
      <c r="SGR11" s="13"/>
      <c r="SGT11" s="13"/>
      <c r="SGV11" s="13"/>
      <c r="SGX11" s="13"/>
      <c r="SGZ11" s="13"/>
      <c r="SHB11" s="13"/>
      <c r="SHD11" s="13"/>
      <c r="SHF11" s="13"/>
      <c r="SHH11" s="13"/>
      <c r="SHJ11" s="13"/>
      <c r="SHL11" s="13"/>
      <c r="SHN11" s="13"/>
      <c r="SHP11" s="13"/>
      <c r="SHR11" s="13"/>
      <c r="SHT11" s="13"/>
      <c r="SHV11" s="13"/>
      <c r="SHX11" s="13"/>
      <c r="SHZ11" s="13"/>
      <c r="SIB11" s="13"/>
      <c r="SID11" s="13"/>
      <c r="SIF11" s="13"/>
      <c r="SIH11" s="13"/>
      <c r="SIJ11" s="13"/>
      <c r="SIL11" s="13"/>
      <c r="SIN11" s="13"/>
      <c r="SIP11" s="13"/>
      <c r="SIR11" s="13"/>
      <c r="SIT11" s="13"/>
      <c r="SIV11" s="13"/>
      <c r="SIX11" s="13"/>
      <c r="SIZ11" s="13"/>
      <c r="SJB11" s="13"/>
      <c r="SJD11" s="13"/>
      <c r="SJF11" s="13"/>
      <c r="SJH11" s="13"/>
      <c r="SJJ11" s="13"/>
      <c r="SJL11" s="13"/>
      <c r="SJN11" s="13"/>
      <c r="SJP11" s="13"/>
      <c r="SJR11" s="13"/>
      <c r="SJT11" s="13"/>
      <c r="SJV11" s="13"/>
      <c r="SJX11" s="13"/>
      <c r="SJZ11" s="13"/>
      <c r="SKB11" s="13"/>
      <c r="SKD11" s="13"/>
      <c r="SKF11" s="13"/>
      <c r="SKH11" s="13"/>
      <c r="SKJ11" s="13"/>
      <c r="SKL11" s="13"/>
      <c r="SKN11" s="13"/>
      <c r="SKP11" s="13"/>
      <c r="SKR11" s="13"/>
      <c r="SKT11" s="13"/>
      <c r="SKV11" s="13"/>
      <c r="SKX11" s="13"/>
      <c r="SKZ11" s="13"/>
      <c r="SLB11" s="13"/>
      <c r="SLD11" s="13"/>
      <c r="SLF11" s="13"/>
      <c r="SLH11" s="13"/>
      <c r="SLJ11" s="13"/>
      <c r="SLL11" s="13"/>
      <c r="SLN11" s="13"/>
      <c r="SLP11" s="13"/>
      <c r="SLR11" s="13"/>
      <c r="SLT11" s="13"/>
      <c r="SLV11" s="13"/>
      <c r="SLX11" s="13"/>
      <c r="SLZ11" s="13"/>
      <c r="SMB11" s="13"/>
      <c r="SMD11" s="13"/>
      <c r="SMF11" s="13"/>
      <c r="SMH11" s="13"/>
      <c r="SMJ11" s="13"/>
      <c r="SML11" s="13"/>
      <c r="SMN11" s="13"/>
      <c r="SMP11" s="13"/>
      <c r="SMR11" s="13"/>
      <c r="SMT11" s="13"/>
      <c r="SMV11" s="13"/>
      <c r="SMX11" s="13"/>
      <c r="SMZ11" s="13"/>
      <c r="SNB11" s="13"/>
      <c r="SND11" s="13"/>
      <c r="SNF11" s="13"/>
      <c r="SNH11" s="13"/>
      <c r="SNJ11" s="13"/>
      <c r="SNL11" s="13"/>
      <c r="SNN11" s="13"/>
      <c r="SNP11" s="13"/>
      <c r="SNR11" s="13"/>
      <c r="SNT11" s="13"/>
      <c r="SNV11" s="13"/>
      <c r="SNX11" s="13"/>
      <c r="SNZ11" s="13"/>
      <c r="SOB11" s="13"/>
      <c r="SOD11" s="13"/>
      <c r="SOF11" s="13"/>
      <c r="SOH11" s="13"/>
      <c r="SOJ11" s="13"/>
      <c r="SOL11" s="13"/>
      <c r="SON11" s="13"/>
      <c r="SOP11" s="13"/>
      <c r="SOR11" s="13"/>
      <c r="SOT11" s="13"/>
      <c r="SOV11" s="13"/>
      <c r="SOX11" s="13"/>
      <c r="SOZ11" s="13"/>
      <c r="SPB11" s="13"/>
      <c r="SPD11" s="13"/>
      <c r="SPF11" s="13"/>
      <c r="SPH11" s="13"/>
      <c r="SPJ11" s="13"/>
      <c r="SPL11" s="13"/>
      <c r="SPN11" s="13"/>
      <c r="SPP11" s="13"/>
      <c r="SPR11" s="13"/>
      <c r="SPT11" s="13"/>
      <c r="SPV11" s="13"/>
      <c r="SPX11" s="13"/>
      <c r="SPZ11" s="13"/>
      <c r="SQB11" s="13"/>
      <c r="SQD11" s="13"/>
      <c r="SQF11" s="13"/>
      <c r="SQH11" s="13"/>
      <c r="SQJ11" s="13"/>
      <c r="SQL11" s="13"/>
      <c r="SQN11" s="13"/>
      <c r="SQP11" s="13"/>
      <c r="SQR11" s="13"/>
      <c r="SQT11" s="13"/>
      <c r="SQV11" s="13"/>
      <c r="SQX11" s="13"/>
      <c r="SQZ11" s="13"/>
      <c r="SRB11" s="13"/>
      <c r="SRD11" s="13"/>
      <c r="SRF11" s="13"/>
      <c r="SRH11" s="13"/>
      <c r="SRJ11" s="13"/>
      <c r="SRL11" s="13"/>
      <c r="SRN11" s="13"/>
      <c r="SRP11" s="13"/>
      <c r="SRR11" s="13"/>
      <c r="SRT11" s="13"/>
      <c r="SRV11" s="13"/>
      <c r="SRX11" s="13"/>
      <c r="SRZ11" s="13"/>
      <c r="SSB11" s="13"/>
      <c r="SSD11" s="13"/>
      <c r="SSF11" s="13"/>
      <c r="SSH11" s="13"/>
      <c r="SSJ11" s="13"/>
      <c r="SSL11" s="13"/>
      <c r="SSN11" s="13"/>
      <c r="SSP11" s="13"/>
      <c r="SSR11" s="13"/>
      <c r="SST11" s="13"/>
      <c r="SSV11" s="13"/>
      <c r="SSX11" s="13"/>
      <c r="SSZ11" s="13"/>
      <c r="STB11" s="13"/>
      <c r="STD11" s="13"/>
      <c r="STF11" s="13"/>
      <c r="STH11" s="13"/>
      <c r="STJ11" s="13"/>
      <c r="STL11" s="13"/>
      <c r="STN11" s="13"/>
      <c r="STP11" s="13"/>
      <c r="STR11" s="13"/>
      <c r="STT11" s="13"/>
      <c r="STV11" s="13"/>
      <c r="STX11" s="13"/>
      <c r="STZ11" s="13"/>
      <c r="SUB11" s="13"/>
      <c r="SUD11" s="13"/>
      <c r="SUF11" s="13"/>
      <c r="SUH11" s="13"/>
      <c r="SUJ11" s="13"/>
      <c r="SUL11" s="13"/>
      <c r="SUN11" s="13"/>
      <c r="SUP11" s="13"/>
      <c r="SUR11" s="13"/>
      <c r="SUT11" s="13"/>
      <c r="SUV11" s="13"/>
      <c r="SUX11" s="13"/>
      <c r="SUZ11" s="13"/>
      <c r="SVB11" s="13"/>
      <c r="SVD11" s="13"/>
      <c r="SVF11" s="13"/>
      <c r="SVH11" s="13"/>
      <c r="SVJ11" s="13"/>
      <c r="SVL11" s="13"/>
      <c r="SVN11" s="13"/>
      <c r="SVP11" s="13"/>
      <c r="SVR11" s="13"/>
      <c r="SVT11" s="13"/>
      <c r="SVV11" s="13"/>
      <c r="SVX11" s="13"/>
      <c r="SVZ11" s="13"/>
      <c r="SWB11" s="13"/>
      <c r="SWD11" s="13"/>
      <c r="SWF11" s="13"/>
      <c r="SWH11" s="13"/>
      <c r="SWJ11" s="13"/>
      <c r="SWL11" s="13"/>
      <c r="SWN11" s="13"/>
      <c r="SWP11" s="13"/>
      <c r="SWR11" s="13"/>
      <c r="SWT11" s="13"/>
      <c r="SWV11" s="13"/>
      <c r="SWX11" s="13"/>
      <c r="SWZ11" s="13"/>
      <c r="SXB11" s="13"/>
      <c r="SXD11" s="13"/>
      <c r="SXF11" s="13"/>
      <c r="SXH11" s="13"/>
      <c r="SXJ11" s="13"/>
      <c r="SXL11" s="13"/>
      <c r="SXN11" s="13"/>
      <c r="SXP11" s="13"/>
      <c r="SXR11" s="13"/>
      <c r="SXT11" s="13"/>
      <c r="SXV11" s="13"/>
      <c r="SXX11" s="13"/>
      <c r="SXZ11" s="13"/>
      <c r="SYB11" s="13"/>
      <c r="SYD11" s="13"/>
      <c r="SYF11" s="13"/>
      <c r="SYH11" s="13"/>
      <c r="SYJ11" s="13"/>
      <c r="SYL11" s="13"/>
      <c r="SYN11" s="13"/>
      <c r="SYP11" s="13"/>
      <c r="SYR11" s="13"/>
      <c r="SYT11" s="13"/>
      <c r="SYV11" s="13"/>
      <c r="SYX11" s="13"/>
      <c r="SYZ11" s="13"/>
      <c r="SZB11" s="13"/>
      <c r="SZD11" s="13"/>
      <c r="SZF11" s="13"/>
      <c r="SZH11" s="13"/>
      <c r="SZJ11" s="13"/>
      <c r="SZL11" s="13"/>
      <c r="SZN11" s="13"/>
      <c r="SZP11" s="13"/>
      <c r="SZR11" s="13"/>
      <c r="SZT11" s="13"/>
      <c r="SZV11" s="13"/>
      <c r="SZX11" s="13"/>
      <c r="SZZ11" s="13"/>
      <c r="TAB11" s="13"/>
      <c r="TAD11" s="13"/>
      <c r="TAF11" s="13"/>
      <c r="TAH11" s="13"/>
      <c r="TAJ11" s="13"/>
      <c r="TAL11" s="13"/>
      <c r="TAN11" s="13"/>
      <c r="TAP11" s="13"/>
      <c r="TAR11" s="13"/>
      <c r="TAT11" s="13"/>
      <c r="TAV11" s="13"/>
      <c r="TAX11" s="13"/>
      <c r="TAZ11" s="13"/>
      <c r="TBB11" s="13"/>
      <c r="TBD11" s="13"/>
      <c r="TBF11" s="13"/>
      <c r="TBH11" s="13"/>
      <c r="TBJ11" s="13"/>
      <c r="TBL11" s="13"/>
      <c r="TBN11" s="13"/>
      <c r="TBP11" s="13"/>
      <c r="TBR11" s="13"/>
      <c r="TBT11" s="13"/>
      <c r="TBV11" s="13"/>
      <c r="TBX11" s="13"/>
      <c r="TBZ11" s="13"/>
      <c r="TCB11" s="13"/>
      <c r="TCD11" s="13"/>
      <c r="TCF11" s="13"/>
      <c r="TCH11" s="13"/>
      <c r="TCJ11" s="13"/>
      <c r="TCL11" s="13"/>
      <c r="TCN11" s="13"/>
      <c r="TCP11" s="13"/>
      <c r="TCR11" s="13"/>
      <c r="TCT11" s="13"/>
      <c r="TCV11" s="13"/>
      <c r="TCX11" s="13"/>
      <c r="TCZ11" s="13"/>
      <c r="TDB11" s="13"/>
      <c r="TDD11" s="13"/>
      <c r="TDF11" s="13"/>
      <c r="TDH11" s="13"/>
      <c r="TDJ11" s="13"/>
      <c r="TDL11" s="13"/>
      <c r="TDN11" s="13"/>
      <c r="TDP11" s="13"/>
      <c r="TDR11" s="13"/>
      <c r="TDT11" s="13"/>
      <c r="TDV11" s="13"/>
      <c r="TDX11" s="13"/>
      <c r="TDZ11" s="13"/>
      <c r="TEB11" s="13"/>
      <c r="TED11" s="13"/>
      <c r="TEF11" s="13"/>
      <c r="TEH11" s="13"/>
      <c r="TEJ11" s="13"/>
      <c r="TEL11" s="13"/>
      <c r="TEN11" s="13"/>
      <c r="TEP11" s="13"/>
      <c r="TER11" s="13"/>
      <c r="TET11" s="13"/>
      <c r="TEV11" s="13"/>
      <c r="TEX11" s="13"/>
      <c r="TEZ11" s="13"/>
      <c r="TFB11" s="13"/>
      <c r="TFD11" s="13"/>
      <c r="TFF11" s="13"/>
      <c r="TFH11" s="13"/>
      <c r="TFJ11" s="13"/>
      <c r="TFL11" s="13"/>
      <c r="TFN11" s="13"/>
      <c r="TFP11" s="13"/>
      <c r="TFR11" s="13"/>
      <c r="TFT11" s="13"/>
      <c r="TFV11" s="13"/>
      <c r="TFX11" s="13"/>
      <c r="TFZ11" s="13"/>
      <c r="TGB11" s="13"/>
      <c r="TGD11" s="13"/>
      <c r="TGF11" s="13"/>
      <c r="TGH11" s="13"/>
      <c r="TGJ11" s="13"/>
      <c r="TGL11" s="13"/>
      <c r="TGN11" s="13"/>
      <c r="TGP11" s="13"/>
      <c r="TGR11" s="13"/>
      <c r="TGT11" s="13"/>
      <c r="TGV11" s="13"/>
      <c r="TGX11" s="13"/>
      <c r="TGZ11" s="13"/>
      <c r="THB11" s="13"/>
      <c r="THD11" s="13"/>
      <c r="THF11" s="13"/>
      <c r="THH11" s="13"/>
      <c r="THJ11" s="13"/>
      <c r="THL11" s="13"/>
      <c r="THN11" s="13"/>
      <c r="THP11" s="13"/>
      <c r="THR11" s="13"/>
      <c r="THT11" s="13"/>
      <c r="THV11" s="13"/>
      <c r="THX11" s="13"/>
      <c r="THZ11" s="13"/>
      <c r="TIB11" s="13"/>
      <c r="TID11" s="13"/>
      <c r="TIF11" s="13"/>
      <c r="TIH11" s="13"/>
      <c r="TIJ11" s="13"/>
      <c r="TIL11" s="13"/>
      <c r="TIN11" s="13"/>
      <c r="TIP11" s="13"/>
      <c r="TIR11" s="13"/>
      <c r="TIT11" s="13"/>
      <c r="TIV11" s="13"/>
      <c r="TIX11" s="13"/>
      <c r="TIZ11" s="13"/>
      <c r="TJB11" s="13"/>
      <c r="TJD11" s="13"/>
      <c r="TJF11" s="13"/>
      <c r="TJH11" s="13"/>
      <c r="TJJ11" s="13"/>
      <c r="TJL11" s="13"/>
      <c r="TJN11" s="13"/>
      <c r="TJP11" s="13"/>
      <c r="TJR11" s="13"/>
      <c r="TJT11" s="13"/>
      <c r="TJV11" s="13"/>
      <c r="TJX11" s="13"/>
      <c r="TJZ11" s="13"/>
      <c r="TKB11" s="13"/>
      <c r="TKD11" s="13"/>
      <c r="TKF11" s="13"/>
      <c r="TKH11" s="13"/>
      <c r="TKJ11" s="13"/>
      <c r="TKL11" s="13"/>
      <c r="TKN11" s="13"/>
      <c r="TKP11" s="13"/>
      <c r="TKR11" s="13"/>
      <c r="TKT11" s="13"/>
      <c r="TKV11" s="13"/>
      <c r="TKX11" s="13"/>
      <c r="TKZ11" s="13"/>
      <c r="TLB11" s="13"/>
      <c r="TLD11" s="13"/>
      <c r="TLF11" s="13"/>
      <c r="TLH11" s="13"/>
      <c r="TLJ11" s="13"/>
      <c r="TLL11" s="13"/>
      <c r="TLN11" s="13"/>
      <c r="TLP11" s="13"/>
      <c r="TLR11" s="13"/>
      <c r="TLT11" s="13"/>
      <c r="TLV11" s="13"/>
      <c r="TLX11" s="13"/>
      <c r="TLZ11" s="13"/>
      <c r="TMB11" s="13"/>
      <c r="TMD11" s="13"/>
      <c r="TMF11" s="13"/>
      <c r="TMH11" s="13"/>
      <c r="TMJ11" s="13"/>
      <c r="TML11" s="13"/>
      <c r="TMN11" s="13"/>
      <c r="TMP11" s="13"/>
      <c r="TMR11" s="13"/>
      <c r="TMT11" s="13"/>
      <c r="TMV11" s="13"/>
      <c r="TMX11" s="13"/>
      <c r="TMZ11" s="13"/>
      <c r="TNB11" s="13"/>
      <c r="TND11" s="13"/>
      <c r="TNF11" s="13"/>
      <c r="TNH11" s="13"/>
      <c r="TNJ11" s="13"/>
      <c r="TNL11" s="13"/>
      <c r="TNN11" s="13"/>
      <c r="TNP11" s="13"/>
      <c r="TNR11" s="13"/>
      <c r="TNT11" s="13"/>
      <c r="TNV11" s="13"/>
      <c r="TNX11" s="13"/>
      <c r="TNZ11" s="13"/>
      <c r="TOB11" s="13"/>
      <c r="TOD11" s="13"/>
      <c r="TOF11" s="13"/>
      <c r="TOH11" s="13"/>
      <c r="TOJ11" s="13"/>
      <c r="TOL11" s="13"/>
      <c r="TON11" s="13"/>
      <c r="TOP11" s="13"/>
      <c r="TOR11" s="13"/>
      <c r="TOT11" s="13"/>
      <c r="TOV11" s="13"/>
      <c r="TOX11" s="13"/>
      <c r="TOZ11" s="13"/>
      <c r="TPB11" s="13"/>
      <c r="TPD11" s="13"/>
      <c r="TPF11" s="13"/>
      <c r="TPH11" s="13"/>
      <c r="TPJ11" s="13"/>
      <c r="TPL11" s="13"/>
      <c r="TPN11" s="13"/>
      <c r="TPP11" s="13"/>
      <c r="TPR11" s="13"/>
      <c r="TPT11" s="13"/>
      <c r="TPV11" s="13"/>
      <c r="TPX11" s="13"/>
      <c r="TPZ11" s="13"/>
      <c r="TQB11" s="13"/>
      <c r="TQD11" s="13"/>
      <c r="TQF11" s="13"/>
      <c r="TQH11" s="13"/>
      <c r="TQJ11" s="13"/>
      <c r="TQL11" s="13"/>
      <c r="TQN11" s="13"/>
      <c r="TQP11" s="13"/>
      <c r="TQR11" s="13"/>
      <c r="TQT11" s="13"/>
      <c r="TQV11" s="13"/>
      <c r="TQX11" s="13"/>
      <c r="TQZ11" s="13"/>
      <c r="TRB11" s="13"/>
      <c r="TRD11" s="13"/>
      <c r="TRF11" s="13"/>
      <c r="TRH11" s="13"/>
      <c r="TRJ11" s="13"/>
      <c r="TRL11" s="13"/>
      <c r="TRN11" s="13"/>
      <c r="TRP11" s="13"/>
      <c r="TRR11" s="13"/>
      <c r="TRT11" s="13"/>
      <c r="TRV11" s="13"/>
      <c r="TRX11" s="13"/>
      <c r="TRZ11" s="13"/>
      <c r="TSB11" s="13"/>
      <c r="TSD11" s="13"/>
      <c r="TSF11" s="13"/>
      <c r="TSH11" s="13"/>
      <c r="TSJ11" s="13"/>
      <c r="TSL11" s="13"/>
      <c r="TSN11" s="13"/>
      <c r="TSP11" s="13"/>
      <c r="TSR11" s="13"/>
      <c r="TST11" s="13"/>
      <c r="TSV11" s="13"/>
      <c r="TSX11" s="13"/>
      <c r="TSZ11" s="13"/>
      <c r="TTB11" s="13"/>
      <c r="TTD11" s="13"/>
      <c r="TTF11" s="13"/>
      <c r="TTH11" s="13"/>
      <c r="TTJ11" s="13"/>
      <c r="TTL11" s="13"/>
      <c r="TTN11" s="13"/>
      <c r="TTP11" s="13"/>
      <c r="TTR11" s="13"/>
      <c r="TTT11" s="13"/>
      <c r="TTV11" s="13"/>
      <c r="TTX11" s="13"/>
      <c r="TTZ11" s="13"/>
      <c r="TUB11" s="13"/>
      <c r="TUD11" s="13"/>
      <c r="TUF11" s="13"/>
      <c r="TUH11" s="13"/>
      <c r="TUJ11" s="13"/>
      <c r="TUL11" s="13"/>
      <c r="TUN11" s="13"/>
      <c r="TUP11" s="13"/>
      <c r="TUR11" s="13"/>
      <c r="TUT11" s="13"/>
      <c r="TUV11" s="13"/>
      <c r="TUX11" s="13"/>
      <c r="TUZ11" s="13"/>
      <c r="TVB11" s="13"/>
      <c r="TVD11" s="13"/>
      <c r="TVF11" s="13"/>
      <c r="TVH11" s="13"/>
      <c r="TVJ11" s="13"/>
      <c r="TVL11" s="13"/>
      <c r="TVN11" s="13"/>
      <c r="TVP11" s="13"/>
      <c r="TVR11" s="13"/>
      <c r="TVT11" s="13"/>
      <c r="TVV11" s="13"/>
      <c r="TVX11" s="13"/>
      <c r="TVZ11" s="13"/>
      <c r="TWB11" s="13"/>
      <c r="TWD11" s="13"/>
      <c r="TWF11" s="13"/>
      <c r="TWH11" s="13"/>
      <c r="TWJ11" s="13"/>
      <c r="TWL11" s="13"/>
      <c r="TWN11" s="13"/>
      <c r="TWP11" s="13"/>
      <c r="TWR11" s="13"/>
      <c r="TWT11" s="13"/>
      <c r="TWV11" s="13"/>
      <c r="TWX11" s="13"/>
      <c r="TWZ11" s="13"/>
      <c r="TXB11" s="13"/>
      <c r="TXD11" s="13"/>
      <c r="TXF11" s="13"/>
      <c r="TXH11" s="13"/>
      <c r="TXJ11" s="13"/>
      <c r="TXL11" s="13"/>
      <c r="TXN11" s="13"/>
      <c r="TXP11" s="13"/>
      <c r="TXR11" s="13"/>
      <c r="TXT11" s="13"/>
      <c r="TXV11" s="13"/>
      <c r="TXX11" s="13"/>
      <c r="TXZ11" s="13"/>
      <c r="TYB11" s="13"/>
      <c r="TYD11" s="13"/>
      <c r="TYF11" s="13"/>
      <c r="TYH11" s="13"/>
      <c r="TYJ11" s="13"/>
      <c r="TYL11" s="13"/>
      <c r="TYN11" s="13"/>
      <c r="TYP11" s="13"/>
      <c r="TYR11" s="13"/>
      <c r="TYT11" s="13"/>
      <c r="TYV11" s="13"/>
      <c r="TYX11" s="13"/>
      <c r="TYZ11" s="13"/>
      <c r="TZB11" s="13"/>
      <c r="TZD11" s="13"/>
      <c r="TZF11" s="13"/>
      <c r="TZH11" s="13"/>
      <c r="TZJ11" s="13"/>
      <c r="TZL11" s="13"/>
      <c r="TZN11" s="13"/>
      <c r="TZP11" s="13"/>
      <c r="TZR11" s="13"/>
      <c r="TZT11" s="13"/>
      <c r="TZV11" s="13"/>
      <c r="TZX11" s="13"/>
      <c r="TZZ11" s="13"/>
      <c r="UAB11" s="13"/>
      <c r="UAD11" s="13"/>
      <c r="UAF11" s="13"/>
      <c r="UAH11" s="13"/>
      <c r="UAJ11" s="13"/>
      <c r="UAL11" s="13"/>
      <c r="UAN11" s="13"/>
      <c r="UAP11" s="13"/>
      <c r="UAR11" s="13"/>
      <c r="UAT11" s="13"/>
      <c r="UAV11" s="13"/>
      <c r="UAX11" s="13"/>
      <c r="UAZ11" s="13"/>
      <c r="UBB11" s="13"/>
      <c r="UBD11" s="13"/>
      <c r="UBF11" s="13"/>
      <c r="UBH11" s="13"/>
      <c r="UBJ11" s="13"/>
      <c r="UBL11" s="13"/>
      <c r="UBN11" s="13"/>
      <c r="UBP11" s="13"/>
      <c r="UBR11" s="13"/>
      <c r="UBT11" s="13"/>
      <c r="UBV11" s="13"/>
      <c r="UBX11" s="13"/>
      <c r="UBZ11" s="13"/>
      <c r="UCB11" s="13"/>
      <c r="UCD11" s="13"/>
      <c r="UCF11" s="13"/>
      <c r="UCH11" s="13"/>
      <c r="UCJ11" s="13"/>
      <c r="UCL11" s="13"/>
      <c r="UCN11" s="13"/>
      <c r="UCP11" s="13"/>
      <c r="UCR11" s="13"/>
      <c r="UCT11" s="13"/>
      <c r="UCV11" s="13"/>
      <c r="UCX11" s="13"/>
      <c r="UCZ11" s="13"/>
      <c r="UDB11" s="13"/>
      <c r="UDD11" s="13"/>
      <c r="UDF11" s="13"/>
      <c r="UDH11" s="13"/>
      <c r="UDJ11" s="13"/>
      <c r="UDL11" s="13"/>
      <c r="UDN11" s="13"/>
      <c r="UDP11" s="13"/>
      <c r="UDR11" s="13"/>
      <c r="UDT11" s="13"/>
      <c r="UDV11" s="13"/>
      <c r="UDX11" s="13"/>
      <c r="UDZ11" s="13"/>
      <c r="UEB11" s="13"/>
      <c r="UED11" s="13"/>
      <c r="UEF11" s="13"/>
      <c r="UEH11" s="13"/>
      <c r="UEJ11" s="13"/>
      <c r="UEL11" s="13"/>
      <c r="UEN11" s="13"/>
      <c r="UEP11" s="13"/>
      <c r="UER11" s="13"/>
      <c r="UET11" s="13"/>
      <c r="UEV11" s="13"/>
      <c r="UEX11" s="13"/>
      <c r="UEZ11" s="13"/>
      <c r="UFB11" s="13"/>
      <c r="UFD11" s="13"/>
      <c r="UFF11" s="13"/>
      <c r="UFH11" s="13"/>
      <c r="UFJ11" s="13"/>
      <c r="UFL11" s="13"/>
      <c r="UFN11" s="13"/>
      <c r="UFP11" s="13"/>
      <c r="UFR11" s="13"/>
      <c r="UFT11" s="13"/>
      <c r="UFV11" s="13"/>
      <c r="UFX11" s="13"/>
      <c r="UFZ11" s="13"/>
      <c r="UGB11" s="13"/>
      <c r="UGD11" s="13"/>
      <c r="UGF11" s="13"/>
      <c r="UGH11" s="13"/>
      <c r="UGJ11" s="13"/>
      <c r="UGL11" s="13"/>
      <c r="UGN11" s="13"/>
      <c r="UGP11" s="13"/>
      <c r="UGR11" s="13"/>
      <c r="UGT11" s="13"/>
      <c r="UGV11" s="13"/>
      <c r="UGX11" s="13"/>
      <c r="UGZ11" s="13"/>
      <c r="UHB11" s="13"/>
      <c r="UHD11" s="13"/>
      <c r="UHF11" s="13"/>
      <c r="UHH11" s="13"/>
      <c r="UHJ11" s="13"/>
      <c r="UHL11" s="13"/>
      <c r="UHN11" s="13"/>
      <c r="UHP11" s="13"/>
      <c r="UHR11" s="13"/>
      <c r="UHT11" s="13"/>
      <c r="UHV11" s="13"/>
      <c r="UHX11" s="13"/>
      <c r="UHZ11" s="13"/>
      <c r="UIB11" s="13"/>
      <c r="UID11" s="13"/>
      <c r="UIF11" s="13"/>
      <c r="UIH11" s="13"/>
      <c r="UIJ11" s="13"/>
      <c r="UIL11" s="13"/>
      <c r="UIN11" s="13"/>
      <c r="UIP11" s="13"/>
      <c r="UIR11" s="13"/>
      <c r="UIT11" s="13"/>
      <c r="UIV11" s="13"/>
      <c r="UIX11" s="13"/>
      <c r="UIZ11" s="13"/>
      <c r="UJB11" s="13"/>
      <c r="UJD11" s="13"/>
      <c r="UJF11" s="13"/>
      <c r="UJH11" s="13"/>
      <c r="UJJ11" s="13"/>
      <c r="UJL11" s="13"/>
      <c r="UJN11" s="13"/>
      <c r="UJP11" s="13"/>
      <c r="UJR11" s="13"/>
      <c r="UJT11" s="13"/>
      <c r="UJV11" s="13"/>
      <c r="UJX11" s="13"/>
      <c r="UJZ11" s="13"/>
      <c r="UKB11" s="13"/>
      <c r="UKD11" s="13"/>
      <c r="UKF11" s="13"/>
      <c r="UKH11" s="13"/>
      <c r="UKJ11" s="13"/>
      <c r="UKL11" s="13"/>
      <c r="UKN11" s="13"/>
      <c r="UKP11" s="13"/>
      <c r="UKR11" s="13"/>
      <c r="UKT11" s="13"/>
      <c r="UKV11" s="13"/>
      <c r="UKX11" s="13"/>
      <c r="UKZ11" s="13"/>
      <c r="ULB11" s="13"/>
      <c r="ULD11" s="13"/>
      <c r="ULF11" s="13"/>
      <c r="ULH11" s="13"/>
      <c r="ULJ11" s="13"/>
      <c r="ULL11" s="13"/>
      <c r="ULN11" s="13"/>
      <c r="ULP11" s="13"/>
      <c r="ULR11" s="13"/>
      <c r="ULT11" s="13"/>
      <c r="ULV11" s="13"/>
      <c r="ULX11" s="13"/>
      <c r="ULZ11" s="13"/>
      <c r="UMB11" s="13"/>
      <c r="UMD11" s="13"/>
      <c r="UMF11" s="13"/>
      <c r="UMH11" s="13"/>
      <c r="UMJ11" s="13"/>
      <c r="UML11" s="13"/>
      <c r="UMN11" s="13"/>
      <c r="UMP11" s="13"/>
      <c r="UMR11" s="13"/>
      <c r="UMT11" s="13"/>
      <c r="UMV11" s="13"/>
      <c r="UMX11" s="13"/>
      <c r="UMZ11" s="13"/>
      <c r="UNB11" s="13"/>
      <c r="UND11" s="13"/>
      <c r="UNF11" s="13"/>
      <c r="UNH11" s="13"/>
      <c r="UNJ11" s="13"/>
      <c r="UNL11" s="13"/>
      <c r="UNN11" s="13"/>
      <c r="UNP11" s="13"/>
      <c r="UNR11" s="13"/>
      <c r="UNT11" s="13"/>
      <c r="UNV11" s="13"/>
      <c r="UNX11" s="13"/>
      <c r="UNZ11" s="13"/>
      <c r="UOB11" s="13"/>
      <c r="UOD11" s="13"/>
      <c r="UOF11" s="13"/>
      <c r="UOH11" s="13"/>
      <c r="UOJ11" s="13"/>
      <c r="UOL11" s="13"/>
      <c r="UON11" s="13"/>
      <c r="UOP11" s="13"/>
      <c r="UOR11" s="13"/>
      <c r="UOT11" s="13"/>
      <c r="UOV11" s="13"/>
      <c r="UOX11" s="13"/>
      <c r="UOZ11" s="13"/>
      <c r="UPB11" s="13"/>
      <c r="UPD11" s="13"/>
      <c r="UPF11" s="13"/>
      <c r="UPH11" s="13"/>
      <c r="UPJ11" s="13"/>
      <c r="UPL11" s="13"/>
      <c r="UPN11" s="13"/>
      <c r="UPP11" s="13"/>
      <c r="UPR11" s="13"/>
      <c r="UPT11" s="13"/>
      <c r="UPV11" s="13"/>
      <c r="UPX11" s="13"/>
      <c r="UPZ11" s="13"/>
      <c r="UQB11" s="13"/>
      <c r="UQD11" s="13"/>
      <c r="UQF11" s="13"/>
      <c r="UQH11" s="13"/>
      <c r="UQJ11" s="13"/>
      <c r="UQL11" s="13"/>
      <c r="UQN11" s="13"/>
      <c r="UQP11" s="13"/>
      <c r="UQR11" s="13"/>
      <c r="UQT11" s="13"/>
      <c r="UQV11" s="13"/>
      <c r="UQX11" s="13"/>
      <c r="UQZ11" s="13"/>
      <c r="URB11" s="13"/>
      <c r="URD11" s="13"/>
      <c r="URF11" s="13"/>
      <c r="URH11" s="13"/>
      <c r="URJ11" s="13"/>
      <c r="URL11" s="13"/>
      <c r="URN11" s="13"/>
      <c r="URP11" s="13"/>
      <c r="URR11" s="13"/>
      <c r="URT11" s="13"/>
      <c r="URV11" s="13"/>
      <c r="URX11" s="13"/>
      <c r="URZ11" s="13"/>
      <c r="USB11" s="13"/>
      <c r="USD11" s="13"/>
      <c r="USF11" s="13"/>
      <c r="USH11" s="13"/>
      <c r="USJ11" s="13"/>
      <c r="USL11" s="13"/>
      <c r="USN11" s="13"/>
      <c r="USP11" s="13"/>
      <c r="USR11" s="13"/>
      <c r="UST11" s="13"/>
      <c r="USV11" s="13"/>
      <c r="USX11" s="13"/>
      <c r="USZ11" s="13"/>
      <c r="UTB11" s="13"/>
      <c r="UTD11" s="13"/>
      <c r="UTF11" s="13"/>
      <c r="UTH11" s="13"/>
      <c r="UTJ11" s="13"/>
      <c r="UTL11" s="13"/>
      <c r="UTN11" s="13"/>
      <c r="UTP11" s="13"/>
      <c r="UTR11" s="13"/>
      <c r="UTT11" s="13"/>
      <c r="UTV11" s="13"/>
      <c r="UTX11" s="13"/>
      <c r="UTZ11" s="13"/>
      <c r="UUB11" s="13"/>
      <c r="UUD11" s="13"/>
      <c r="UUF11" s="13"/>
      <c r="UUH11" s="13"/>
      <c r="UUJ11" s="13"/>
      <c r="UUL11" s="13"/>
      <c r="UUN11" s="13"/>
      <c r="UUP11" s="13"/>
      <c r="UUR11" s="13"/>
      <c r="UUT11" s="13"/>
      <c r="UUV11" s="13"/>
      <c r="UUX11" s="13"/>
      <c r="UUZ11" s="13"/>
      <c r="UVB11" s="13"/>
      <c r="UVD11" s="13"/>
      <c r="UVF11" s="13"/>
      <c r="UVH11" s="13"/>
      <c r="UVJ11" s="13"/>
      <c r="UVL11" s="13"/>
      <c r="UVN11" s="13"/>
      <c r="UVP11" s="13"/>
      <c r="UVR11" s="13"/>
      <c r="UVT11" s="13"/>
      <c r="UVV11" s="13"/>
      <c r="UVX11" s="13"/>
      <c r="UVZ11" s="13"/>
      <c r="UWB11" s="13"/>
      <c r="UWD11" s="13"/>
      <c r="UWF11" s="13"/>
      <c r="UWH11" s="13"/>
      <c r="UWJ11" s="13"/>
      <c r="UWL11" s="13"/>
      <c r="UWN11" s="13"/>
      <c r="UWP11" s="13"/>
      <c r="UWR11" s="13"/>
      <c r="UWT11" s="13"/>
      <c r="UWV11" s="13"/>
      <c r="UWX11" s="13"/>
      <c r="UWZ11" s="13"/>
      <c r="UXB11" s="13"/>
      <c r="UXD11" s="13"/>
      <c r="UXF11" s="13"/>
      <c r="UXH11" s="13"/>
      <c r="UXJ11" s="13"/>
      <c r="UXL11" s="13"/>
      <c r="UXN11" s="13"/>
      <c r="UXP11" s="13"/>
      <c r="UXR11" s="13"/>
      <c r="UXT11" s="13"/>
      <c r="UXV11" s="13"/>
      <c r="UXX11" s="13"/>
      <c r="UXZ11" s="13"/>
      <c r="UYB11" s="13"/>
      <c r="UYD11" s="13"/>
      <c r="UYF11" s="13"/>
      <c r="UYH11" s="13"/>
      <c r="UYJ11" s="13"/>
      <c r="UYL11" s="13"/>
      <c r="UYN11" s="13"/>
      <c r="UYP11" s="13"/>
      <c r="UYR11" s="13"/>
      <c r="UYT11" s="13"/>
      <c r="UYV11" s="13"/>
      <c r="UYX11" s="13"/>
      <c r="UYZ11" s="13"/>
      <c r="UZB11" s="13"/>
      <c r="UZD11" s="13"/>
      <c r="UZF11" s="13"/>
      <c r="UZH11" s="13"/>
      <c r="UZJ11" s="13"/>
      <c r="UZL11" s="13"/>
      <c r="UZN11" s="13"/>
      <c r="UZP11" s="13"/>
      <c r="UZR11" s="13"/>
      <c r="UZT11" s="13"/>
      <c r="UZV11" s="13"/>
      <c r="UZX11" s="13"/>
      <c r="UZZ11" s="13"/>
      <c r="VAB11" s="13"/>
      <c r="VAD11" s="13"/>
      <c r="VAF11" s="13"/>
      <c r="VAH11" s="13"/>
      <c r="VAJ11" s="13"/>
      <c r="VAL11" s="13"/>
      <c r="VAN11" s="13"/>
      <c r="VAP11" s="13"/>
      <c r="VAR11" s="13"/>
      <c r="VAT11" s="13"/>
      <c r="VAV11" s="13"/>
      <c r="VAX11" s="13"/>
      <c r="VAZ11" s="13"/>
      <c r="VBB11" s="13"/>
      <c r="VBD11" s="13"/>
      <c r="VBF11" s="13"/>
      <c r="VBH11" s="13"/>
      <c r="VBJ11" s="13"/>
      <c r="VBL11" s="13"/>
      <c r="VBN11" s="13"/>
      <c r="VBP11" s="13"/>
      <c r="VBR11" s="13"/>
      <c r="VBT11" s="13"/>
      <c r="VBV11" s="13"/>
      <c r="VBX11" s="13"/>
      <c r="VBZ11" s="13"/>
      <c r="VCB11" s="13"/>
      <c r="VCD11" s="13"/>
      <c r="VCF11" s="13"/>
      <c r="VCH11" s="13"/>
      <c r="VCJ11" s="13"/>
      <c r="VCL11" s="13"/>
      <c r="VCN11" s="13"/>
      <c r="VCP11" s="13"/>
      <c r="VCR11" s="13"/>
      <c r="VCT11" s="13"/>
      <c r="VCV11" s="13"/>
      <c r="VCX11" s="13"/>
      <c r="VCZ11" s="13"/>
      <c r="VDB11" s="13"/>
      <c r="VDD11" s="13"/>
      <c r="VDF11" s="13"/>
      <c r="VDH11" s="13"/>
      <c r="VDJ11" s="13"/>
      <c r="VDL11" s="13"/>
      <c r="VDN11" s="13"/>
      <c r="VDP11" s="13"/>
      <c r="VDR11" s="13"/>
      <c r="VDT11" s="13"/>
      <c r="VDV11" s="13"/>
      <c r="VDX11" s="13"/>
      <c r="VDZ11" s="13"/>
      <c r="VEB11" s="13"/>
      <c r="VED11" s="13"/>
      <c r="VEF11" s="13"/>
      <c r="VEH11" s="13"/>
      <c r="VEJ11" s="13"/>
      <c r="VEL11" s="13"/>
      <c r="VEN11" s="13"/>
      <c r="VEP11" s="13"/>
      <c r="VER11" s="13"/>
      <c r="VET11" s="13"/>
      <c r="VEV11" s="13"/>
      <c r="VEX11" s="13"/>
      <c r="VEZ11" s="13"/>
      <c r="VFB11" s="13"/>
      <c r="VFD11" s="13"/>
      <c r="VFF11" s="13"/>
      <c r="VFH11" s="13"/>
      <c r="VFJ11" s="13"/>
      <c r="VFL11" s="13"/>
      <c r="VFN11" s="13"/>
      <c r="VFP11" s="13"/>
      <c r="VFR11" s="13"/>
      <c r="VFT11" s="13"/>
      <c r="VFV11" s="13"/>
      <c r="VFX11" s="13"/>
      <c r="VFZ11" s="13"/>
      <c r="VGB11" s="13"/>
      <c r="VGD11" s="13"/>
      <c r="VGF11" s="13"/>
      <c r="VGH11" s="13"/>
      <c r="VGJ11" s="13"/>
      <c r="VGL11" s="13"/>
      <c r="VGN11" s="13"/>
      <c r="VGP11" s="13"/>
      <c r="VGR11" s="13"/>
      <c r="VGT11" s="13"/>
      <c r="VGV11" s="13"/>
      <c r="VGX11" s="13"/>
      <c r="VGZ11" s="13"/>
      <c r="VHB11" s="13"/>
      <c r="VHD11" s="13"/>
      <c r="VHF11" s="13"/>
      <c r="VHH11" s="13"/>
      <c r="VHJ11" s="13"/>
      <c r="VHL11" s="13"/>
      <c r="VHN11" s="13"/>
      <c r="VHP11" s="13"/>
      <c r="VHR11" s="13"/>
      <c r="VHT11" s="13"/>
      <c r="VHV11" s="13"/>
      <c r="VHX11" s="13"/>
      <c r="VHZ11" s="13"/>
      <c r="VIB11" s="13"/>
      <c r="VID11" s="13"/>
      <c r="VIF11" s="13"/>
      <c r="VIH11" s="13"/>
      <c r="VIJ11" s="13"/>
      <c r="VIL11" s="13"/>
      <c r="VIN11" s="13"/>
      <c r="VIP11" s="13"/>
      <c r="VIR11" s="13"/>
      <c r="VIT11" s="13"/>
      <c r="VIV11" s="13"/>
      <c r="VIX11" s="13"/>
      <c r="VIZ11" s="13"/>
      <c r="VJB11" s="13"/>
      <c r="VJD11" s="13"/>
      <c r="VJF11" s="13"/>
      <c r="VJH11" s="13"/>
      <c r="VJJ11" s="13"/>
      <c r="VJL11" s="13"/>
      <c r="VJN11" s="13"/>
      <c r="VJP11" s="13"/>
      <c r="VJR11" s="13"/>
      <c r="VJT11" s="13"/>
      <c r="VJV11" s="13"/>
      <c r="VJX11" s="13"/>
      <c r="VJZ11" s="13"/>
      <c r="VKB11" s="13"/>
      <c r="VKD11" s="13"/>
      <c r="VKF11" s="13"/>
      <c r="VKH11" s="13"/>
      <c r="VKJ11" s="13"/>
      <c r="VKL11" s="13"/>
      <c r="VKN11" s="13"/>
      <c r="VKP11" s="13"/>
      <c r="VKR11" s="13"/>
      <c r="VKT11" s="13"/>
      <c r="VKV11" s="13"/>
      <c r="VKX11" s="13"/>
      <c r="VKZ11" s="13"/>
      <c r="VLB11" s="13"/>
      <c r="VLD11" s="13"/>
      <c r="VLF11" s="13"/>
      <c r="VLH11" s="13"/>
      <c r="VLJ11" s="13"/>
      <c r="VLL11" s="13"/>
      <c r="VLN11" s="13"/>
      <c r="VLP11" s="13"/>
      <c r="VLR11" s="13"/>
      <c r="VLT11" s="13"/>
      <c r="VLV11" s="13"/>
      <c r="VLX11" s="13"/>
      <c r="VLZ11" s="13"/>
      <c r="VMB11" s="13"/>
      <c r="VMD11" s="13"/>
      <c r="VMF11" s="13"/>
      <c r="VMH11" s="13"/>
      <c r="VMJ11" s="13"/>
      <c r="VML11" s="13"/>
      <c r="VMN11" s="13"/>
      <c r="VMP11" s="13"/>
      <c r="VMR11" s="13"/>
      <c r="VMT11" s="13"/>
      <c r="VMV11" s="13"/>
      <c r="VMX11" s="13"/>
      <c r="VMZ11" s="13"/>
      <c r="VNB11" s="13"/>
      <c r="VND11" s="13"/>
      <c r="VNF11" s="13"/>
      <c r="VNH11" s="13"/>
      <c r="VNJ11" s="13"/>
      <c r="VNL11" s="13"/>
      <c r="VNN11" s="13"/>
      <c r="VNP11" s="13"/>
      <c r="VNR11" s="13"/>
      <c r="VNT11" s="13"/>
      <c r="VNV11" s="13"/>
      <c r="VNX11" s="13"/>
      <c r="VNZ11" s="13"/>
      <c r="VOB11" s="13"/>
      <c r="VOD11" s="13"/>
      <c r="VOF11" s="13"/>
      <c r="VOH11" s="13"/>
      <c r="VOJ11" s="13"/>
      <c r="VOL11" s="13"/>
      <c r="VON11" s="13"/>
      <c r="VOP11" s="13"/>
      <c r="VOR11" s="13"/>
      <c r="VOT11" s="13"/>
      <c r="VOV11" s="13"/>
      <c r="VOX11" s="13"/>
      <c r="VOZ11" s="13"/>
      <c r="VPB11" s="13"/>
      <c r="VPD11" s="13"/>
      <c r="VPF11" s="13"/>
      <c r="VPH11" s="13"/>
      <c r="VPJ11" s="13"/>
      <c r="VPL11" s="13"/>
      <c r="VPN11" s="13"/>
      <c r="VPP11" s="13"/>
      <c r="VPR11" s="13"/>
      <c r="VPT11" s="13"/>
      <c r="VPV11" s="13"/>
      <c r="VPX11" s="13"/>
      <c r="VPZ11" s="13"/>
      <c r="VQB11" s="13"/>
      <c r="VQD11" s="13"/>
      <c r="VQF11" s="13"/>
      <c r="VQH11" s="13"/>
      <c r="VQJ11" s="13"/>
      <c r="VQL11" s="13"/>
      <c r="VQN11" s="13"/>
      <c r="VQP11" s="13"/>
      <c r="VQR11" s="13"/>
      <c r="VQT11" s="13"/>
      <c r="VQV11" s="13"/>
      <c r="VQX11" s="13"/>
      <c r="VQZ11" s="13"/>
      <c r="VRB11" s="13"/>
      <c r="VRD11" s="13"/>
      <c r="VRF11" s="13"/>
      <c r="VRH11" s="13"/>
      <c r="VRJ11" s="13"/>
      <c r="VRL11" s="13"/>
      <c r="VRN11" s="13"/>
      <c r="VRP11" s="13"/>
      <c r="VRR11" s="13"/>
      <c r="VRT11" s="13"/>
      <c r="VRV11" s="13"/>
      <c r="VRX11" s="13"/>
      <c r="VRZ11" s="13"/>
      <c r="VSB11" s="13"/>
      <c r="VSD11" s="13"/>
      <c r="VSF11" s="13"/>
      <c r="VSH11" s="13"/>
      <c r="VSJ11" s="13"/>
      <c r="VSL11" s="13"/>
      <c r="VSN11" s="13"/>
      <c r="VSP11" s="13"/>
      <c r="VSR11" s="13"/>
      <c r="VST11" s="13"/>
      <c r="VSV11" s="13"/>
      <c r="VSX11" s="13"/>
      <c r="VSZ11" s="13"/>
      <c r="VTB11" s="13"/>
      <c r="VTD11" s="13"/>
      <c r="VTF11" s="13"/>
      <c r="VTH11" s="13"/>
      <c r="VTJ11" s="13"/>
      <c r="VTL11" s="13"/>
      <c r="VTN11" s="13"/>
      <c r="VTP11" s="13"/>
      <c r="VTR11" s="13"/>
      <c r="VTT11" s="13"/>
      <c r="VTV11" s="13"/>
      <c r="VTX11" s="13"/>
      <c r="VTZ11" s="13"/>
      <c r="VUB11" s="13"/>
      <c r="VUD11" s="13"/>
      <c r="VUF11" s="13"/>
      <c r="VUH11" s="13"/>
      <c r="VUJ11" s="13"/>
      <c r="VUL11" s="13"/>
      <c r="VUN11" s="13"/>
      <c r="VUP11" s="13"/>
      <c r="VUR11" s="13"/>
      <c r="VUT11" s="13"/>
      <c r="VUV11" s="13"/>
      <c r="VUX11" s="13"/>
      <c r="VUZ11" s="13"/>
      <c r="VVB11" s="13"/>
      <c r="VVD11" s="13"/>
      <c r="VVF11" s="13"/>
      <c r="VVH11" s="13"/>
      <c r="VVJ11" s="13"/>
      <c r="VVL11" s="13"/>
      <c r="VVN11" s="13"/>
      <c r="VVP11" s="13"/>
      <c r="VVR11" s="13"/>
      <c r="VVT11" s="13"/>
      <c r="VVV11" s="13"/>
      <c r="VVX11" s="13"/>
      <c r="VVZ11" s="13"/>
      <c r="VWB11" s="13"/>
      <c r="VWD11" s="13"/>
      <c r="VWF11" s="13"/>
      <c r="VWH11" s="13"/>
      <c r="VWJ11" s="13"/>
      <c r="VWL11" s="13"/>
      <c r="VWN11" s="13"/>
      <c r="VWP11" s="13"/>
      <c r="VWR11" s="13"/>
      <c r="VWT11" s="13"/>
      <c r="VWV11" s="13"/>
      <c r="VWX11" s="13"/>
      <c r="VWZ11" s="13"/>
      <c r="VXB11" s="13"/>
      <c r="VXD11" s="13"/>
      <c r="VXF11" s="13"/>
      <c r="VXH11" s="13"/>
      <c r="VXJ11" s="13"/>
      <c r="VXL11" s="13"/>
      <c r="VXN11" s="13"/>
      <c r="VXP11" s="13"/>
      <c r="VXR11" s="13"/>
      <c r="VXT11" s="13"/>
      <c r="VXV11" s="13"/>
      <c r="VXX11" s="13"/>
      <c r="VXZ11" s="13"/>
      <c r="VYB11" s="13"/>
      <c r="VYD11" s="13"/>
      <c r="VYF11" s="13"/>
      <c r="VYH11" s="13"/>
      <c r="VYJ11" s="13"/>
      <c r="VYL11" s="13"/>
      <c r="VYN11" s="13"/>
      <c r="VYP11" s="13"/>
      <c r="VYR11" s="13"/>
      <c r="VYT11" s="13"/>
      <c r="VYV11" s="13"/>
      <c r="VYX11" s="13"/>
      <c r="VYZ11" s="13"/>
      <c r="VZB11" s="13"/>
      <c r="VZD11" s="13"/>
      <c r="VZF11" s="13"/>
      <c r="VZH11" s="13"/>
      <c r="VZJ11" s="13"/>
      <c r="VZL11" s="13"/>
      <c r="VZN11" s="13"/>
      <c r="VZP11" s="13"/>
      <c r="VZR11" s="13"/>
      <c r="VZT11" s="13"/>
      <c r="VZV11" s="13"/>
      <c r="VZX11" s="13"/>
      <c r="VZZ11" s="13"/>
      <c r="WAB11" s="13"/>
      <c r="WAD11" s="13"/>
      <c r="WAF11" s="13"/>
      <c r="WAH11" s="13"/>
      <c r="WAJ11" s="13"/>
      <c r="WAL11" s="13"/>
      <c r="WAN11" s="13"/>
      <c r="WAP11" s="13"/>
      <c r="WAR11" s="13"/>
      <c r="WAT11" s="13"/>
      <c r="WAV11" s="13"/>
      <c r="WAX11" s="13"/>
      <c r="WAZ11" s="13"/>
      <c r="WBB11" s="13"/>
      <c r="WBD11" s="13"/>
      <c r="WBF11" s="13"/>
      <c r="WBH11" s="13"/>
      <c r="WBJ11" s="13"/>
      <c r="WBL11" s="13"/>
      <c r="WBN11" s="13"/>
      <c r="WBP11" s="13"/>
      <c r="WBR11" s="13"/>
      <c r="WBT11" s="13"/>
      <c r="WBV11" s="13"/>
      <c r="WBX11" s="13"/>
      <c r="WBZ11" s="13"/>
      <c r="WCB11" s="13"/>
      <c r="WCD11" s="13"/>
      <c r="WCF11" s="13"/>
      <c r="WCH11" s="13"/>
      <c r="WCJ11" s="13"/>
      <c r="WCL11" s="13"/>
      <c r="WCN11" s="13"/>
      <c r="WCP11" s="13"/>
      <c r="WCR11" s="13"/>
      <c r="WCT11" s="13"/>
      <c r="WCV11" s="13"/>
      <c r="WCX11" s="13"/>
      <c r="WCZ11" s="13"/>
      <c r="WDB11" s="13"/>
      <c r="WDD11" s="13"/>
      <c r="WDF11" s="13"/>
      <c r="WDH11" s="13"/>
      <c r="WDJ11" s="13"/>
      <c r="WDL11" s="13"/>
      <c r="WDN11" s="13"/>
      <c r="WDP11" s="13"/>
      <c r="WDR11" s="13"/>
      <c r="WDT11" s="13"/>
      <c r="WDV11" s="13"/>
      <c r="WDX11" s="13"/>
      <c r="WDZ11" s="13"/>
      <c r="WEB11" s="13"/>
      <c r="WED11" s="13"/>
      <c r="WEF11" s="13"/>
      <c r="WEH11" s="13"/>
      <c r="WEJ11" s="13"/>
      <c r="WEL11" s="13"/>
      <c r="WEN11" s="13"/>
      <c r="WEP11" s="13"/>
      <c r="WER11" s="13"/>
      <c r="WET11" s="13"/>
      <c r="WEV11" s="13"/>
      <c r="WEX11" s="13"/>
      <c r="WEZ11" s="13"/>
      <c r="WFB11" s="13"/>
      <c r="WFD11" s="13"/>
      <c r="WFF11" s="13"/>
      <c r="WFH11" s="13"/>
      <c r="WFJ11" s="13"/>
      <c r="WFL11" s="13"/>
      <c r="WFN11" s="13"/>
      <c r="WFP11" s="13"/>
      <c r="WFR11" s="13"/>
      <c r="WFT11" s="13"/>
      <c r="WFV11" s="13"/>
      <c r="WFX11" s="13"/>
      <c r="WFZ11" s="13"/>
      <c r="WGB11" s="13"/>
      <c r="WGD11" s="13"/>
      <c r="WGF11" s="13"/>
      <c r="WGH11" s="13"/>
      <c r="WGJ11" s="13"/>
      <c r="WGL11" s="13"/>
      <c r="WGN11" s="13"/>
      <c r="WGP11" s="13"/>
      <c r="WGR11" s="13"/>
      <c r="WGT11" s="13"/>
      <c r="WGV11" s="13"/>
      <c r="WGX11" s="13"/>
      <c r="WGZ11" s="13"/>
      <c r="WHB11" s="13"/>
      <c r="WHD11" s="13"/>
      <c r="WHF11" s="13"/>
      <c r="WHH11" s="13"/>
      <c r="WHJ11" s="13"/>
      <c r="WHL11" s="13"/>
      <c r="WHN11" s="13"/>
      <c r="WHP11" s="13"/>
      <c r="WHR11" s="13"/>
      <c r="WHT11" s="13"/>
      <c r="WHV11" s="13"/>
      <c r="WHX11" s="13"/>
      <c r="WHZ11" s="13"/>
      <c r="WIB11" s="13"/>
      <c r="WID11" s="13"/>
      <c r="WIF11" s="13"/>
      <c r="WIH11" s="13"/>
      <c r="WIJ11" s="13"/>
      <c r="WIL11" s="13"/>
      <c r="WIN11" s="13"/>
      <c r="WIP11" s="13"/>
      <c r="WIR11" s="13"/>
      <c r="WIT11" s="13"/>
      <c r="WIV11" s="13"/>
      <c r="WIX11" s="13"/>
      <c r="WIZ11" s="13"/>
      <c r="WJB11" s="13"/>
      <c r="WJD11" s="13"/>
      <c r="WJF11" s="13"/>
      <c r="WJH11" s="13"/>
      <c r="WJJ11" s="13"/>
      <c r="WJL11" s="13"/>
      <c r="WJN11" s="13"/>
      <c r="WJP11" s="13"/>
      <c r="WJR11" s="13"/>
      <c r="WJT11" s="13"/>
      <c r="WJV11" s="13"/>
      <c r="WJX11" s="13"/>
      <c r="WJZ11" s="13"/>
      <c r="WKB11" s="13"/>
      <c r="WKD11" s="13"/>
      <c r="WKF11" s="13"/>
      <c r="WKH11" s="13"/>
      <c r="WKJ11" s="13"/>
      <c r="WKL11" s="13"/>
      <c r="WKN11" s="13"/>
      <c r="WKP11" s="13"/>
      <c r="WKR11" s="13"/>
      <c r="WKT11" s="13"/>
      <c r="WKV11" s="13"/>
      <c r="WKX11" s="13"/>
      <c r="WKZ11" s="13"/>
      <c r="WLB11" s="13"/>
      <c r="WLD11" s="13"/>
      <c r="WLF11" s="13"/>
      <c r="WLH11" s="13"/>
      <c r="WLJ11" s="13"/>
      <c r="WLL11" s="13"/>
      <c r="WLN11" s="13"/>
      <c r="WLP11" s="13"/>
      <c r="WLR11" s="13"/>
      <c r="WLT11" s="13"/>
      <c r="WLV11" s="13"/>
      <c r="WLX11" s="13"/>
      <c r="WLZ11" s="13"/>
      <c r="WMB11" s="13"/>
      <c r="WMD11" s="13"/>
      <c r="WMF11" s="13"/>
      <c r="WMH11" s="13"/>
      <c r="WMJ11" s="13"/>
      <c r="WML11" s="13"/>
      <c r="WMN11" s="13"/>
      <c r="WMP11" s="13"/>
      <c r="WMR11" s="13"/>
      <c r="WMT11" s="13"/>
      <c r="WMV11" s="13"/>
      <c r="WMX11" s="13"/>
      <c r="WMZ11" s="13"/>
      <c r="WNB11" s="13"/>
      <c r="WND11" s="13"/>
      <c r="WNF11" s="13"/>
      <c r="WNH11" s="13"/>
      <c r="WNJ11" s="13"/>
      <c r="WNL11" s="13"/>
      <c r="WNN11" s="13"/>
      <c r="WNP11" s="13"/>
      <c r="WNR11" s="13"/>
      <c r="WNT11" s="13"/>
      <c r="WNV11" s="13"/>
      <c r="WNX11" s="13"/>
      <c r="WNZ11" s="13"/>
      <c r="WOB11" s="13"/>
      <c r="WOD11" s="13"/>
      <c r="WOF11" s="13"/>
      <c r="WOH11" s="13"/>
      <c r="WOJ11" s="13"/>
      <c r="WOL11" s="13"/>
      <c r="WON11" s="13"/>
      <c r="WOP11" s="13"/>
      <c r="WOR11" s="13"/>
      <c r="WOT11" s="13"/>
      <c r="WOV11" s="13"/>
      <c r="WOX11" s="13"/>
      <c r="WOZ11" s="13"/>
      <c r="WPB11" s="13"/>
      <c r="WPD11" s="13"/>
      <c r="WPF11" s="13"/>
      <c r="WPH11" s="13"/>
      <c r="WPJ11" s="13"/>
      <c r="WPL11" s="13"/>
      <c r="WPN11" s="13"/>
      <c r="WPP11" s="13"/>
      <c r="WPR11" s="13"/>
      <c r="WPT11" s="13"/>
      <c r="WPV11" s="13"/>
      <c r="WPX11" s="13"/>
      <c r="WPZ11" s="13"/>
      <c r="WQB11" s="13"/>
      <c r="WQD11" s="13"/>
      <c r="WQF11" s="13"/>
      <c r="WQH11" s="13"/>
      <c r="WQJ11" s="13"/>
      <c r="WQL11" s="13"/>
      <c r="WQN11" s="13"/>
      <c r="WQP11" s="13"/>
      <c r="WQR11" s="13"/>
      <c r="WQT11" s="13"/>
      <c r="WQV11" s="13"/>
      <c r="WQX11" s="13"/>
      <c r="WQZ11" s="13"/>
      <c r="WRB11" s="13"/>
      <c r="WRD11" s="13"/>
      <c r="WRF11" s="13"/>
      <c r="WRH11" s="13"/>
      <c r="WRJ11" s="13"/>
      <c r="WRL11" s="13"/>
      <c r="WRN11" s="13"/>
      <c r="WRP11" s="13"/>
      <c r="WRR11" s="13"/>
      <c r="WRT11" s="13"/>
      <c r="WRV11" s="13"/>
      <c r="WRX11" s="13"/>
      <c r="WRZ11" s="13"/>
      <c r="WSB11" s="13"/>
      <c r="WSD11" s="13"/>
      <c r="WSF11" s="13"/>
      <c r="WSH11" s="13"/>
      <c r="WSJ11" s="13"/>
      <c r="WSL11" s="13"/>
      <c r="WSN11" s="13"/>
      <c r="WSP11" s="13"/>
      <c r="WSR11" s="13"/>
      <c r="WST11" s="13"/>
      <c r="WSV11" s="13"/>
      <c r="WSX11" s="13"/>
      <c r="WSZ11" s="13"/>
      <c r="WTB11" s="13"/>
      <c r="WTD11" s="13"/>
      <c r="WTF11" s="13"/>
      <c r="WTH11" s="13"/>
      <c r="WTJ11" s="13"/>
      <c r="WTL11" s="13"/>
      <c r="WTN11" s="13"/>
      <c r="WTP11" s="13"/>
      <c r="WTR11" s="13"/>
      <c r="WTT11" s="13"/>
      <c r="WTV11" s="13"/>
      <c r="WTX11" s="13"/>
      <c r="WTZ11" s="13"/>
      <c r="WUB11" s="13"/>
      <c r="WUD11" s="13"/>
      <c r="WUF11" s="13"/>
      <c r="WUH11" s="13"/>
      <c r="WUJ11" s="13"/>
      <c r="WUL11" s="13"/>
      <c r="WUN11" s="13"/>
      <c r="WUP11" s="13"/>
      <c r="WUR11" s="13"/>
      <c r="WUT11" s="13"/>
      <c r="WUV11" s="13"/>
      <c r="WUX11" s="13"/>
      <c r="WUZ11" s="13"/>
      <c r="WVB11" s="13"/>
      <c r="WVD11" s="13"/>
      <c r="WVF11" s="13"/>
      <c r="WVH11" s="13"/>
      <c r="WVJ11" s="13"/>
      <c r="WVL11" s="13"/>
      <c r="WVN11" s="13"/>
      <c r="WVP11" s="13"/>
      <c r="WVR11" s="13"/>
      <c r="WVT11" s="13"/>
      <c r="WVV11" s="13"/>
      <c r="WVX11" s="13"/>
      <c r="WVZ11" s="13"/>
      <c r="WWB11" s="13"/>
      <c r="WWD11" s="13"/>
      <c r="WWF11" s="13"/>
      <c r="WWH11" s="13"/>
      <c r="WWJ11" s="13"/>
      <c r="WWL11" s="13"/>
      <c r="WWN11" s="13"/>
      <c r="WWP11" s="13"/>
      <c r="WWR11" s="13"/>
      <c r="WWT11" s="13"/>
      <c r="WWV11" s="13"/>
      <c r="WWX11" s="13"/>
      <c r="WWZ11" s="13"/>
      <c r="WXB11" s="13"/>
      <c r="WXD11" s="13"/>
      <c r="WXF11" s="13"/>
      <c r="WXH11" s="13"/>
      <c r="WXJ11" s="13"/>
      <c r="WXL11" s="13"/>
      <c r="WXN11" s="13"/>
      <c r="WXP11" s="13"/>
      <c r="WXR11" s="13"/>
      <c r="WXT11" s="13"/>
      <c r="WXV11" s="13"/>
      <c r="WXX11" s="13"/>
      <c r="WXZ11" s="13"/>
      <c r="WYB11" s="13"/>
      <c r="WYD11" s="13"/>
      <c r="WYF11" s="13"/>
      <c r="WYH11" s="13"/>
      <c r="WYJ11" s="13"/>
      <c r="WYL11" s="13"/>
      <c r="WYN11" s="13"/>
      <c r="WYP11" s="13"/>
      <c r="WYR11" s="13"/>
      <c r="WYT11" s="13"/>
      <c r="WYV11" s="13"/>
      <c r="WYX11" s="13"/>
      <c r="WYZ11" s="13"/>
      <c r="WZB11" s="13"/>
      <c r="WZD11" s="13"/>
      <c r="WZF11" s="13"/>
      <c r="WZH11" s="13"/>
      <c r="WZJ11" s="13"/>
      <c r="WZL11" s="13"/>
      <c r="WZN11" s="13"/>
      <c r="WZP11" s="13"/>
      <c r="WZR11" s="13"/>
      <c r="WZT11" s="13"/>
      <c r="WZV11" s="13"/>
      <c r="WZX11" s="13"/>
      <c r="WZZ11" s="13"/>
      <c r="XAB11" s="13"/>
      <c r="XAD11" s="13"/>
      <c r="XAF11" s="13"/>
      <c r="XAH11" s="13"/>
      <c r="XAJ11" s="13"/>
      <c r="XAL11" s="13"/>
      <c r="XAN11" s="13"/>
      <c r="XAP11" s="13"/>
      <c r="XAR11" s="13"/>
      <c r="XAT11" s="13"/>
      <c r="XAV11" s="13"/>
      <c r="XAX11" s="13"/>
      <c r="XAZ11" s="13"/>
      <c r="XBB11" s="13"/>
      <c r="XBD11" s="13"/>
      <c r="XBF11" s="13"/>
      <c r="XBH11" s="13"/>
      <c r="XBJ11" s="13"/>
      <c r="XBL11" s="13"/>
      <c r="XBN11" s="13"/>
      <c r="XBP11" s="13"/>
      <c r="XBR11" s="13"/>
      <c r="XBT11" s="13"/>
      <c r="XBV11" s="13"/>
      <c r="XBX11" s="13"/>
      <c r="XBZ11" s="13"/>
      <c r="XCB11" s="13"/>
      <c r="XCD11" s="13"/>
      <c r="XCF11" s="13"/>
      <c r="XCH11" s="13"/>
      <c r="XCJ11" s="13"/>
      <c r="XCL11" s="13"/>
      <c r="XCN11" s="13"/>
      <c r="XCP11" s="13"/>
      <c r="XCR11" s="13"/>
      <c r="XCT11" s="13"/>
      <c r="XCV11" s="13"/>
      <c r="XCX11" s="13"/>
      <c r="XCZ11" s="13"/>
      <c r="XDB11" s="13"/>
      <c r="XDD11" s="13"/>
      <c r="XDF11" s="13"/>
      <c r="XDH11" s="13"/>
      <c r="XDJ11" s="13"/>
      <c r="XDL11" s="13"/>
      <c r="XDN11" s="13"/>
      <c r="XDP11" s="13"/>
      <c r="XDR11" s="13"/>
      <c r="XDT11" s="13"/>
      <c r="XDV11" s="13"/>
      <c r="XDX11" s="13"/>
      <c r="XDZ11" s="13"/>
      <c r="XEB11" s="13"/>
      <c r="XED11" s="13"/>
      <c r="XEF11" s="13"/>
      <c r="XEH11" s="13"/>
      <c r="XEJ11" s="13"/>
      <c r="XEL11" s="13"/>
      <c r="XEN11" s="13"/>
      <c r="XEP11" s="13"/>
      <c r="XER11" s="13"/>
      <c r="XET11" s="13"/>
      <c r="XEV11" s="13"/>
      <c r="XEX11" s="13"/>
      <c r="XEZ11" s="13"/>
      <c r="XFB11" s="13"/>
      <c r="XFD11" s="13"/>
    </row>
    <row r="12" spans="1:1024 1026:2048 2050:3072 3074:4096 4098:5120 5122:6144 6146:7168 7170:8192 8194:9216 9218:10240 10242:11264 11266:12288 12290:13312 13314:14336 14338:15360 15362:16384">
      <c r="A12" s="38" t="str">
        <f>Założenia!$D$34</f>
        <v>Typ 1</v>
      </c>
      <c r="B12" s="13" t="s">
        <v>35</v>
      </c>
      <c r="E12" s="7">
        <f>Założenia!D116</f>
        <v>7.0694999999999997</v>
      </c>
      <c r="F12" s="7">
        <f>E12</f>
        <v>7.0694999999999997</v>
      </c>
      <c r="G12" s="7">
        <f t="shared" ref="G12:AA14" si="1">F12</f>
        <v>7.0694999999999997</v>
      </c>
      <c r="H12" s="7">
        <f t="shared" si="1"/>
        <v>7.0694999999999997</v>
      </c>
      <c r="I12" s="7">
        <f t="shared" si="1"/>
        <v>7.0694999999999997</v>
      </c>
      <c r="J12" s="7">
        <f t="shared" si="1"/>
        <v>7.0694999999999997</v>
      </c>
      <c r="K12" s="7">
        <f t="shared" si="1"/>
        <v>7.0694999999999997</v>
      </c>
      <c r="L12" s="7">
        <f t="shared" si="1"/>
        <v>7.0694999999999997</v>
      </c>
      <c r="M12" s="7">
        <f t="shared" si="1"/>
        <v>7.0694999999999997</v>
      </c>
      <c r="N12" s="7">
        <f t="shared" si="1"/>
        <v>7.0694999999999997</v>
      </c>
      <c r="O12" s="7">
        <f t="shared" si="1"/>
        <v>7.0694999999999997</v>
      </c>
      <c r="P12" s="7">
        <f t="shared" si="1"/>
        <v>7.0694999999999997</v>
      </c>
      <c r="Q12" s="7">
        <f t="shared" si="1"/>
        <v>7.0694999999999997</v>
      </c>
      <c r="R12" s="7">
        <f t="shared" si="1"/>
        <v>7.0694999999999997</v>
      </c>
      <c r="S12" s="7">
        <f t="shared" si="1"/>
        <v>7.0694999999999997</v>
      </c>
      <c r="T12" s="7">
        <f t="shared" si="1"/>
        <v>7.0694999999999997</v>
      </c>
      <c r="U12" s="7">
        <f t="shared" si="1"/>
        <v>7.0694999999999997</v>
      </c>
      <c r="V12" s="7">
        <f t="shared" si="1"/>
        <v>7.0694999999999997</v>
      </c>
      <c r="W12" s="7">
        <f t="shared" si="1"/>
        <v>7.0694999999999997</v>
      </c>
      <c r="X12" s="7">
        <f t="shared" si="1"/>
        <v>7.0694999999999997</v>
      </c>
      <c r="Y12" s="7">
        <f t="shared" si="1"/>
        <v>7.0694999999999997</v>
      </c>
      <c r="Z12" s="7">
        <f t="shared" si="1"/>
        <v>7.0694999999999997</v>
      </c>
      <c r="AA12" s="7">
        <f t="shared" si="1"/>
        <v>7.0694999999999997</v>
      </c>
      <c r="AB12" s="7"/>
    </row>
    <row r="13" spans="1:1024 1026:2048 2050:3072 3074:4096 4098:5120 5122:6144 6146:7168 7170:8192 8194:9216 9218:10240 10242:11264 11266:12288 12290:13312 13314:14336 14338:15360 15362:16384">
      <c r="A13" s="38" t="str">
        <f>Założenia!$E$34</f>
        <v>Typ 2</v>
      </c>
      <c r="B13" s="13" t="s">
        <v>35</v>
      </c>
      <c r="E13" s="7">
        <f>Założenia!E116</f>
        <v>7.2195</v>
      </c>
      <c r="F13" s="7">
        <f t="shared" ref="F13:U14" si="2">E13</f>
        <v>7.2195</v>
      </c>
      <c r="G13" s="7">
        <f t="shared" si="2"/>
        <v>7.2195</v>
      </c>
      <c r="H13" s="7">
        <f t="shared" si="2"/>
        <v>7.2195</v>
      </c>
      <c r="I13" s="7">
        <f t="shared" si="2"/>
        <v>7.2195</v>
      </c>
      <c r="J13" s="7">
        <f t="shared" si="2"/>
        <v>7.2195</v>
      </c>
      <c r="K13" s="7">
        <f t="shared" si="2"/>
        <v>7.2195</v>
      </c>
      <c r="L13" s="7">
        <f t="shared" si="2"/>
        <v>7.2195</v>
      </c>
      <c r="M13" s="7">
        <f t="shared" si="2"/>
        <v>7.2195</v>
      </c>
      <c r="N13" s="7">
        <f t="shared" si="2"/>
        <v>7.2195</v>
      </c>
      <c r="O13" s="7">
        <f t="shared" si="2"/>
        <v>7.2195</v>
      </c>
      <c r="P13" s="7">
        <f t="shared" si="2"/>
        <v>7.2195</v>
      </c>
      <c r="Q13" s="7">
        <f t="shared" si="2"/>
        <v>7.2195</v>
      </c>
      <c r="R13" s="7">
        <f t="shared" si="2"/>
        <v>7.2195</v>
      </c>
      <c r="S13" s="7">
        <f t="shared" si="2"/>
        <v>7.2195</v>
      </c>
      <c r="T13" s="7">
        <f t="shared" si="2"/>
        <v>7.2195</v>
      </c>
      <c r="U13" s="7">
        <f t="shared" si="2"/>
        <v>7.2195</v>
      </c>
      <c r="V13" s="7">
        <f t="shared" si="1"/>
        <v>7.2195</v>
      </c>
      <c r="W13" s="7">
        <f t="shared" si="1"/>
        <v>7.2195</v>
      </c>
      <c r="X13" s="7">
        <f t="shared" si="1"/>
        <v>7.2195</v>
      </c>
      <c r="Y13" s="7">
        <f t="shared" si="1"/>
        <v>7.2195</v>
      </c>
      <c r="Z13" s="7">
        <f t="shared" si="1"/>
        <v>7.2195</v>
      </c>
      <c r="AA13" s="7">
        <f t="shared" si="1"/>
        <v>7.2195</v>
      </c>
      <c r="AB13" s="7"/>
    </row>
    <row r="14" spans="1:1024 1026:2048 2050:3072 3074:4096 4098:5120 5122:6144 6146:7168 7170:8192 8194:9216 9218:10240 10242:11264 11266:12288 12290:13312 13314:14336 14338:15360 15362:16384">
      <c r="A14" s="38" t="str">
        <f>Założenia!$F$34</f>
        <v>Typ 3</v>
      </c>
      <c r="B14" s="13" t="s">
        <v>35</v>
      </c>
      <c r="E14" s="7">
        <f>Założenia!F116</f>
        <v>7.4195000000000002</v>
      </c>
      <c r="F14" s="7">
        <f t="shared" si="2"/>
        <v>7.4195000000000002</v>
      </c>
      <c r="G14" s="7">
        <f t="shared" si="1"/>
        <v>7.4195000000000002</v>
      </c>
      <c r="H14" s="7">
        <f t="shared" si="1"/>
        <v>7.4195000000000002</v>
      </c>
      <c r="I14" s="7">
        <f t="shared" si="1"/>
        <v>7.4195000000000002</v>
      </c>
      <c r="J14" s="7">
        <f t="shared" si="1"/>
        <v>7.4195000000000002</v>
      </c>
      <c r="K14" s="7">
        <f t="shared" si="1"/>
        <v>7.4195000000000002</v>
      </c>
      <c r="L14" s="7">
        <f t="shared" si="1"/>
        <v>7.4195000000000002</v>
      </c>
      <c r="M14" s="7">
        <f t="shared" si="1"/>
        <v>7.4195000000000002</v>
      </c>
      <c r="N14" s="7">
        <f t="shared" si="1"/>
        <v>7.4195000000000002</v>
      </c>
      <c r="O14" s="7">
        <f t="shared" si="1"/>
        <v>7.4195000000000002</v>
      </c>
      <c r="P14" s="7">
        <f t="shared" si="1"/>
        <v>7.4195000000000002</v>
      </c>
      <c r="Q14" s="7">
        <f t="shared" si="1"/>
        <v>7.4195000000000002</v>
      </c>
      <c r="R14" s="7">
        <f t="shared" si="1"/>
        <v>7.4195000000000002</v>
      </c>
      <c r="S14" s="7">
        <f t="shared" si="1"/>
        <v>7.4195000000000002</v>
      </c>
      <c r="T14" s="7">
        <f t="shared" si="1"/>
        <v>7.4195000000000002</v>
      </c>
      <c r="U14" s="7">
        <f t="shared" si="1"/>
        <v>7.4195000000000002</v>
      </c>
      <c r="V14" s="7">
        <f t="shared" si="1"/>
        <v>7.4195000000000002</v>
      </c>
      <c r="W14" s="7">
        <f t="shared" si="1"/>
        <v>7.4195000000000002</v>
      </c>
      <c r="X14" s="7">
        <f t="shared" si="1"/>
        <v>7.4195000000000002</v>
      </c>
      <c r="Y14" s="7">
        <f t="shared" si="1"/>
        <v>7.4195000000000002</v>
      </c>
      <c r="Z14" s="7">
        <f t="shared" si="1"/>
        <v>7.4195000000000002</v>
      </c>
      <c r="AA14" s="7">
        <f t="shared" si="1"/>
        <v>7.4195000000000002</v>
      </c>
      <c r="AB14" s="7"/>
    </row>
    <row r="15" spans="1:1024 1026:2048 2050:3072 3074:4096 4098:5120 5122:6144 6146:7168 7170:8192 8194:9216 9218:10240 10242:11264 11266:12288 12290:13312 13314:14336 14338:15360 15362:16384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1024 1026:2048 2050:3072 3074:4096 4098:5120 5122:6144 6146:7168 7170:8192 8194:9216 9218:10240 10242:11264 11266:12288 12290:13312 13314:14336 14338:15360 15362:16384">
      <c r="A16" t="s">
        <v>79</v>
      </c>
      <c r="B16" s="13" t="s">
        <v>17</v>
      </c>
      <c r="E16" s="7">
        <f>E7*E12+E8*E13+E9*E14</f>
        <v>5759600</v>
      </c>
      <c r="F16" s="7">
        <f t="shared" ref="F16:AA16" si="3">F7*F12+F8*F13+F9*F14</f>
        <v>5759600</v>
      </c>
      <c r="G16" s="7">
        <f t="shared" si="3"/>
        <v>5759600</v>
      </c>
      <c r="H16" s="7">
        <f t="shared" si="3"/>
        <v>5759600</v>
      </c>
      <c r="I16" s="7">
        <f t="shared" si="3"/>
        <v>5759600</v>
      </c>
      <c r="J16" s="7">
        <f t="shared" si="3"/>
        <v>5759600</v>
      </c>
      <c r="K16" s="7">
        <f t="shared" si="3"/>
        <v>5759600</v>
      </c>
      <c r="L16" s="7">
        <f t="shared" si="3"/>
        <v>5759600</v>
      </c>
      <c r="M16" s="7">
        <f t="shared" si="3"/>
        <v>5759600</v>
      </c>
      <c r="N16" s="7">
        <f t="shared" si="3"/>
        <v>5759600</v>
      </c>
      <c r="O16" s="7">
        <f t="shared" si="3"/>
        <v>5759600</v>
      </c>
      <c r="P16" s="7">
        <f t="shared" si="3"/>
        <v>5759600</v>
      </c>
      <c r="Q16" s="7">
        <f t="shared" si="3"/>
        <v>5759600</v>
      </c>
      <c r="R16" s="7">
        <f t="shared" si="3"/>
        <v>5759600</v>
      </c>
      <c r="S16" s="7">
        <f t="shared" si="3"/>
        <v>5759600</v>
      </c>
      <c r="T16" s="7">
        <f t="shared" si="3"/>
        <v>5759600</v>
      </c>
      <c r="U16" s="7">
        <f t="shared" si="3"/>
        <v>5759600</v>
      </c>
      <c r="V16" s="7">
        <f t="shared" si="3"/>
        <v>5759600</v>
      </c>
      <c r="W16" s="7">
        <f t="shared" si="3"/>
        <v>5759600</v>
      </c>
      <c r="X16" s="7">
        <f t="shared" si="3"/>
        <v>5759600</v>
      </c>
      <c r="Y16" s="7">
        <f t="shared" si="3"/>
        <v>5759600</v>
      </c>
      <c r="Z16" s="7">
        <f t="shared" si="3"/>
        <v>5759600</v>
      </c>
      <c r="AA16" s="7">
        <f t="shared" si="3"/>
        <v>5759600</v>
      </c>
      <c r="AB16" s="7"/>
    </row>
    <row r="17" spans="1:28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t="s">
        <v>80</v>
      </c>
      <c r="B18" s="13" t="s">
        <v>17</v>
      </c>
      <c r="E18" s="7">
        <f>Założenia!E143</f>
        <v>0</v>
      </c>
      <c r="F18" s="7">
        <f>Założenia!F143</f>
        <v>0</v>
      </c>
      <c r="G18" s="7">
        <f>Założenia!G143</f>
        <v>0</v>
      </c>
      <c r="H18" s="7">
        <f>Założenia!H143</f>
        <v>0</v>
      </c>
      <c r="I18" s="7">
        <f>Założenia!I143</f>
        <v>0</v>
      </c>
      <c r="J18" s="7">
        <f>Założenia!J143</f>
        <v>0</v>
      </c>
      <c r="K18" s="7">
        <f>Założenia!K143</f>
        <v>600000</v>
      </c>
      <c r="L18" s="7">
        <f>Założenia!L143</f>
        <v>0</v>
      </c>
      <c r="M18" s="7">
        <f>Założenia!M143</f>
        <v>0</v>
      </c>
      <c r="N18" s="7">
        <f>Założenia!N143</f>
        <v>0</v>
      </c>
      <c r="O18" s="7">
        <f>Założenia!O143</f>
        <v>0</v>
      </c>
      <c r="P18" s="7">
        <f>Założenia!P143</f>
        <v>600000</v>
      </c>
      <c r="Q18" s="7">
        <f>Założenia!Q143</f>
        <v>0</v>
      </c>
      <c r="R18" s="7">
        <f>Założenia!R143</f>
        <v>0</v>
      </c>
      <c r="S18" s="7">
        <f>Założenia!S143</f>
        <v>0</v>
      </c>
      <c r="T18" s="7">
        <f>Założenia!T143</f>
        <v>0</v>
      </c>
      <c r="U18" s="7">
        <f>Założenia!U143</f>
        <v>0</v>
      </c>
      <c r="V18" s="7">
        <f>Założenia!V143</f>
        <v>0</v>
      </c>
      <c r="W18" s="7">
        <f>Założenia!W143</f>
        <v>0</v>
      </c>
      <c r="X18" s="7">
        <f>Założenia!X143</f>
        <v>0</v>
      </c>
      <c r="Y18" s="7">
        <f>Założenia!Y143</f>
        <v>0</v>
      </c>
      <c r="Z18" s="7">
        <f>Założenia!Z143</f>
        <v>0</v>
      </c>
      <c r="AA18" s="7">
        <f>Założenia!AA143</f>
        <v>0</v>
      </c>
      <c r="AB18" s="7"/>
    </row>
    <row r="19" spans="1:28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t="s">
        <v>370</v>
      </c>
      <c r="B20" s="13" t="s">
        <v>17</v>
      </c>
      <c r="E20" s="7">
        <f>Założenia!$D$155*Założenia!E157</f>
        <v>10000</v>
      </c>
      <c r="F20" s="7">
        <f>Założenia!$D$155*Założenia!F157</f>
        <v>10085</v>
      </c>
      <c r="G20" s="7">
        <f>Założenia!$D$155*Założenia!G157</f>
        <v>10170.725</v>
      </c>
      <c r="H20" s="7">
        <f>Założenia!$D$155*Założenia!H157</f>
        <v>10257.174999999999</v>
      </c>
      <c r="I20" s="7">
        <f>Założenia!$D$155*Założenia!I157</f>
        <v>10344.36</v>
      </c>
      <c r="J20" s="7">
        <f>Założenia!$D$155*Założenia!J157</f>
        <v>10432.285</v>
      </c>
      <c r="K20" s="7">
        <f>Założenia!$D$155*Założenia!K157</f>
        <v>10520.96</v>
      </c>
      <c r="L20" s="7">
        <f>Założenia!$D$155*Założenia!L157</f>
        <v>10610.39</v>
      </c>
      <c r="M20" s="7">
        <f>Założenia!$D$155*Założenia!M157</f>
        <v>10700.58</v>
      </c>
      <c r="N20" s="7">
        <f>Założenia!$D$155*Założenia!N157</f>
        <v>10791.53</v>
      </c>
      <c r="O20" s="7">
        <f>Założenia!$D$155*Założenia!O157</f>
        <v>10883.26</v>
      </c>
      <c r="P20" s="7">
        <f>Założenia!$D$155*Założenia!P157</f>
        <v>10975.77</v>
      </c>
      <c r="Q20" s="7">
        <f>Założenia!$D$155*Założenia!Q157</f>
        <v>11069.06</v>
      </c>
      <c r="R20" s="7">
        <f>Założenia!$D$155*Założenia!R157</f>
        <v>11163.15</v>
      </c>
      <c r="S20" s="7">
        <f>Założenia!$D$155*Założenia!S157</f>
        <v>11258.035</v>
      </c>
      <c r="T20" s="7">
        <f>Założenia!$D$155*Założenia!T157</f>
        <v>11353.73</v>
      </c>
      <c r="U20" s="7">
        <f>Założenia!$D$155*Założenia!U157</f>
        <v>11450.235000000001</v>
      </c>
      <c r="V20" s="7">
        <f>Założenia!$D$155*Założenia!V157</f>
        <v>11547.565000000001</v>
      </c>
      <c r="W20" s="7">
        <f>Założenia!$D$155*Założenia!W157</f>
        <v>11645.715</v>
      </c>
      <c r="X20" s="7">
        <f>Założenia!$D$155*Założenia!X157</f>
        <v>11744.705</v>
      </c>
      <c r="Y20" s="7">
        <f>Założenia!$D$155*Założenia!Y157</f>
        <v>11844.535</v>
      </c>
      <c r="Z20" s="7">
        <f>Założenia!$D$155*Założenia!Z157</f>
        <v>11945.215</v>
      </c>
      <c r="AA20" s="7">
        <f>Założenia!$D$155*Założenia!AA157</f>
        <v>12046.75</v>
      </c>
      <c r="AB20" s="7"/>
    </row>
    <row r="21" spans="1:28">
      <c r="A21" t="s">
        <v>371</v>
      </c>
      <c r="B21" s="13" t="s">
        <v>17</v>
      </c>
      <c r="E21" s="7">
        <f>Założenia!$D$25*Założenia!$D$160</f>
        <v>30000</v>
      </c>
      <c r="F21" s="7">
        <f>Założenia!$D$25*Założenia!$D$160</f>
        <v>30000</v>
      </c>
      <c r="G21" s="7">
        <f>Założenia!$D$25*Założenia!$D$160</f>
        <v>30000</v>
      </c>
      <c r="H21" s="7">
        <f>Założenia!$D$25*Założenia!$D$160</f>
        <v>30000</v>
      </c>
      <c r="I21" s="7">
        <f>Założenia!$D$25*Założenia!$D$160</f>
        <v>30000</v>
      </c>
      <c r="J21" s="7">
        <f>Założenia!$D$25*Założenia!$D$160</f>
        <v>30000</v>
      </c>
      <c r="K21" s="7">
        <f>Założenia!$D$25*Założenia!$D$160</f>
        <v>30000</v>
      </c>
      <c r="L21" s="7">
        <f>Założenia!$D$25*Założenia!$D$160</f>
        <v>30000</v>
      </c>
      <c r="M21" s="7">
        <f>Założenia!$D$25*Założenia!$D$160</f>
        <v>30000</v>
      </c>
      <c r="N21" s="7">
        <f>Założenia!$D$25*Założenia!$D$160</f>
        <v>30000</v>
      </c>
      <c r="O21" s="7">
        <f>Założenia!$D$25*Założenia!$D$160</f>
        <v>30000</v>
      </c>
      <c r="P21" s="7">
        <f>Założenia!$D$25*Założenia!$D$160</f>
        <v>30000</v>
      </c>
      <c r="Q21" s="7">
        <f>Założenia!$D$25*Założenia!$D$160</f>
        <v>30000</v>
      </c>
      <c r="R21" s="7">
        <f>Założenia!$D$25*Założenia!$D$160</f>
        <v>30000</v>
      </c>
      <c r="S21" s="7">
        <f>Założenia!$D$25*Założenia!$D$160</f>
        <v>30000</v>
      </c>
      <c r="T21" s="7">
        <f>Założenia!$D$25*Założenia!$D$160</f>
        <v>30000</v>
      </c>
      <c r="U21" s="7">
        <f>Założenia!$D$25*Założenia!$D$160</f>
        <v>30000</v>
      </c>
      <c r="V21" s="7">
        <f>Założenia!$D$25*Założenia!$D$160</f>
        <v>30000</v>
      </c>
      <c r="W21" s="7">
        <f>Założenia!$D$25*Założenia!$D$160</f>
        <v>30000</v>
      </c>
      <c r="X21" s="7">
        <f>Założenia!$D$25*Założenia!$D$160</f>
        <v>30000</v>
      </c>
      <c r="Y21" s="7">
        <f>Założenia!$D$25*Założenia!$D$160</f>
        <v>30000</v>
      </c>
      <c r="Z21" s="7">
        <f>Założenia!$D$25*Założenia!$D$160</f>
        <v>30000</v>
      </c>
      <c r="AA21" s="7">
        <f>Założenia!$D$25*Założenia!$D$160</f>
        <v>30000</v>
      </c>
      <c r="AB21" s="7"/>
    </row>
    <row r="22" spans="1:28">
      <c r="A22" t="s">
        <v>382</v>
      </c>
      <c r="B22" s="13" t="s">
        <v>17</v>
      </c>
      <c r="E22" s="7">
        <f>Założenia!E166</f>
        <v>0</v>
      </c>
      <c r="F22" s="7">
        <f>Założenia!F166</f>
        <v>0</v>
      </c>
      <c r="G22" s="7">
        <f>Założenia!G166</f>
        <v>0</v>
      </c>
      <c r="H22" s="7">
        <f>Założenia!H166</f>
        <v>0</v>
      </c>
      <c r="I22" s="7">
        <f>Założenia!I166</f>
        <v>0</v>
      </c>
      <c r="J22" s="7">
        <f>Założenia!J166</f>
        <v>0</v>
      </c>
      <c r="K22" s="7">
        <f>Założenia!K166</f>
        <v>0</v>
      </c>
      <c r="L22" s="7">
        <f>Założenia!L166</f>
        <v>0</v>
      </c>
      <c r="M22" s="7">
        <f>Założenia!M166</f>
        <v>0</v>
      </c>
      <c r="N22" s="7">
        <f>Założenia!N166</f>
        <v>0</v>
      </c>
      <c r="O22" s="7">
        <f>Założenia!O166</f>
        <v>0</v>
      </c>
      <c r="P22" s="7">
        <f>Założenia!P166</f>
        <v>0</v>
      </c>
      <c r="Q22" s="7">
        <f>Założenia!Q166</f>
        <v>0</v>
      </c>
      <c r="R22" s="7">
        <f>Założenia!R166</f>
        <v>0</v>
      </c>
      <c r="S22" s="7">
        <f>Założenia!S166</f>
        <v>0</v>
      </c>
      <c r="T22" s="7">
        <f>Założenia!T166</f>
        <v>0</v>
      </c>
      <c r="U22" s="7">
        <f>Założenia!U166</f>
        <v>0</v>
      </c>
      <c r="V22" s="7">
        <f>Założenia!V166</f>
        <v>0</v>
      </c>
      <c r="W22" s="7">
        <f>Założenia!W166</f>
        <v>0</v>
      </c>
      <c r="X22" s="7">
        <f>Założenia!X166</f>
        <v>0</v>
      </c>
      <c r="Y22" s="7">
        <f>Założenia!Y166</f>
        <v>0</v>
      </c>
      <c r="Z22" s="7">
        <f>Założenia!Z166</f>
        <v>0</v>
      </c>
      <c r="AA22" s="7">
        <f>Założenia!AA166</f>
        <v>0</v>
      </c>
      <c r="AB22" s="7"/>
    </row>
    <row r="23" spans="1:28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4" t="s">
        <v>76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t="s">
        <v>73</v>
      </c>
      <c r="B26" s="13" t="s">
        <v>74</v>
      </c>
      <c r="E26" s="7">
        <f t="shared" ref="E26:AA26" si="4">E5</f>
        <v>800000</v>
      </c>
      <c r="F26" s="7">
        <f t="shared" si="4"/>
        <v>800000</v>
      </c>
      <c r="G26" s="7">
        <f t="shared" si="4"/>
        <v>800000</v>
      </c>
      <c r="H26" s="7">
        <f t="shared" si="4"/>
        <v>800000</v>
      </c>
      <c r="I26" s="7">
        <f t="shared" si="4"/>
        <v>800000</v>
      </c>
      <c r="J26" s="7">
        <f t="shared" si="4"/>
        <v>800000</v>
      </c>
      <c r="K26" s="7">
        <f t="shared" si="4"/>
        <v>800000</v>
      </c>
      <c r="L26" s="7">
        <f t="shared" si="4"/>
        <v>800000</v>
      </c>
      <c r="M26" s="7">
        <f t="shared" si="4"/>
        <v>800000</v>
      </c>
      <c r="N26" s="7">
        <f t="shared" si="4"/>
        <v>800000</v>
      </c>
      <c r="O26" s="7">
        <f t="shared" si="4"/>
        <v>800000</v>
      </c>
      <c r="P26" s="7">
        <f t="shared" si="4"/>
        <v>800000</v>
      </c>
      <c r="Q26" s="7">
        <f t="shared" si="4"/>
        <v>800000</v>
      </c>
      <c r="R26" s="7">
        <f t="shared" si="4"/>
        <v>800000</v>
      </c>
      <c r="S26" s="7">
        <f t="shared" si="4"/>
        <v>800000</v>
      </c>
      <c r="T26" s="7">
        <f t="shared" si="4"/>
        <v>800000</v>
      </c>
      <c r="U26" s="7">
        <f t="shared" si="4"/>
        <v>800000</v>
      </c>
      <c r="V26" s="7">
        <f t="shared" si="4"/>
        <v>800000</v>
      </c>
      <c r="W26" s="7">
        <f t="shared" si="4"/>
        <v>800000</v>
      </c>
      <c r="X26" s="7">
        <f t="shared" si="4"/>
        <v>800000</v>
      </c>
      <c r="Y26" s="7">
        <f t="shared" si="4"/>
        <v>800000</v>
      </c>
      <c r="Z26" s="7">
        <f t="shared" si="4"/>
        <v>800000</v>
      </c>
      <c r="AA26" s="7">
        <f t="shared" si="4"/>
        <v>800000</v>
      </c>
      <c r="AB26" s="7"/>
    </row>
    <row r="27" spans="1:28">
      <c r="A27" t="s">
        <v>71</v>
      </c>
      <c r="B27" s="13" t="s">
        <v>13</v>
      </c>
      <c r="E27" s="1">
        <f>IF(E$1&gt;=Założenia!$D$48,100%,0%)</f>
        <v>0</v>
      </c>
      <c r="F27" s="1">
        <f>IF(F$1&gt;=Założenia!$D$48,100%,0%)</f>
        <v>0</v>
      </c>
      <c r="G27" s="1">
        <f>IF(G$1&gt;=Założenia!$D$48,100%,0%)</f>
        <v>0</v>
      </c>
      <c r="H27" s="1">
        <f>IF(H$1&gt;=Założenia!$D$48,100%,0%)</f>
        <v>0</v>
      </c>
      <c r="I27" s="1">
        <f>IF(I$1&gt;=Założenia!$D$48,100%,0%)</f>
        <v>0</v>
      </c>
      <c r="J27" s="1">
        <f>IF(J$1&gt;=Założenia!$D$48,100%,0%)</f>
        <v>1</v>
      </c>
      <c r="K27" s="1">
        <f>IF(K$1&gt;=Założenia!$D$48,100%,0%)</f>
        <v>1</v>
      </c>
      <c r="L27" s="1">
        <f>IF(L$1&gt;=Założenia!$D$48,100%,0%)</f>
        <v>1</v>
      </c>
      <c r="M27" s="1">
        <f>IF(M$1&gt;=Założenia!$D$48,100%,0%)</f>
        <v>1</v>
      </c>
      <c r="N27" s="1">
        <f>IF(N$1&gt;=Założenia!$D$48,100%,0%)</f>
        <v>1</v>
      </c>
      <c r="O27" s="1">
        <f>IF(O$1&gt;=Założenia!$D$48,100%,0%)</f>
        <v>1</v>
      </c>
      <c r="P27" s="1">
        <f>IF(P$1&gt;=Założenia!$D$48,100%,0%)</f>
        <v>1</v>
      </c>
      <c r="Q27" s="1">
        <f>IF(Q$1&gt;=Założenia!$D$48,100%,0%)</f>
        <v>1</v>
      </c>
      <c r="R27" s="1">
        <f>IF(R$1&gt;=Założenia!$D$48,100%,0%)</f>
        <v>1</v>
      </c>
      <c r="S27" s="1">
        <f>IF(S$1&gt;=Założenia!$D$48,100%,0%)</f>
        <v>1</v>
      </c>
      <c r="T27" s="1">
        <f>IF(T$1&gt;=Założenia!$D$48,100%,0%)</f>
        <v>1</v>
      </c>
      <c r="U27" s="1">
        <f>IF(U$1&gt;=Założenia!$D$48,100%,0%)</f>
        <v>1</v>
      </c>
      <c r="V27" s="1">
        <f>IF(V$1&gt;=Założenia!$D$48,100%,0%)</f>
        <v>1</v>
      </c>
      <c r="W27" s="1">
        <f>IF(W$1&gt;=Założenia!$D$48,100%,0%)</f>
        <v>1</v>
      </c>
      <c r="X27" s="1">
        <f>IF(X$1&gt;=Założenia!$D$48,100%,0%)</f>
        <v>1</v>
      </c>
      <c r="Y27" s="1">
        <f>IF(Y$1&gt;=Założenia!$D$48,100%,0%)</f>
        <v>1</v>
      </c>
      <c r="Z27" s="1">
        <f>IF(Z$1&gt;=Założenia!$D$48,100%,0%)</f>
        <v>1</v>
      </c>
      <c r="AA27" s="1">
        <f>IF(AA$1&gt;=Założenia!$D$48,100%,0%)</f>
        <v>1</v>
      </c>
      <c r="AB27" s="1"/>
    </row>
    <row r="28" spans="1:28">
      <c r="A28" t="s">
        <v>72</v>
      </c>
      <c r="I28" s="42"/>
      <c r="J28" s="42"/>
    </row>
    <row r="29" spans="1:28">
      <c r="A29" s="38" t="str">
        <f>Założenia!$D$35</f>
        <v>Typ A</v>
      </c>
      <c r="B29" s="13" t="s">
        <v>74</v>
      </c>
      <c r="E29" s="7">
        <f>E$27*Założenia!$D31*Eksploatacja!E$26</f>
        <v>0</v>
      </c>
      <c r="F29" s="7">
        <f>F$27*Założenia!$D31*Eksploatacja!F$26</f>
        <v>0</v>
      </c>
      <c r="G29" s="7">
        <f>G$27*Założenia!$D31*Eksploatacja!G$26</f>
        <v>0</v>
      </c>
      <c r="H29" s="7">
        <f>H$27*Założenia!$D31*Eksploatacja!H$26</f>
        <v>0</v>
      </c>
      <c r="I29" s="7">
        <f>I$27*Założenia!$D31*Eksploatacja!I$26</f>
        <v>0</v>
      </c>
      <c r="J29" s="7">
        <f>J$27*Założenia!$D31*Eksploatacja!J$26</f>
        <v>240000</v>
      </c>
      <c r="K29" s="7">
        <f>K$27*Założenia!$D31*Eksploatacja!K$26</f>
        <v>240000</v>
      </c>
      <c r="L29" s="7">
        <f>L$27*Założenia!$D31*Eksploatacja!L$26</f>
        <v>240000</v>
      </c>
      <c r="M29" s="7">
        <f>M$27*Założenia!$D31*Eksploatacja!M$26</f>
        <v>240000</v>
      </c>
      <c r="N29" s="7">
        <f>N$27*Założenia!$D31*Eksploatacja!N$26</f>
        <v>240000</v>
      </c>
      <c r="O29" s="7">
        <f>O$27*Założenia!$D31*Eksploatacja!O$26</f>
        <v>240000</v>
      </c>
      <c r="P29" s="7">
        <f>P$27*Założenia!$D31*Eksploatacja!P$26</f>
        <v>240000</v>
      </c>
      <c r="Q29" s="7">
        <f>Q$27*Założenia!$D31*Eksploatacja!Q$26</f>
        <v>240000</v>
      </c>
      <c r="R29" s="7">
        <f>R$27*Założenia!$D31*Eksploatacja!R$26</f>
        <v>240000</v>
      </c>
      <c r="S29" s="7">
        <f>S$27*Założenia!$D31*Eksploatacja!S$26</f>
        <v>240000</v>
      </c>
      <c r="T29" s="7">
        <f>T$27*Założenia!$D31*Eksploatacja!T$26</f>
        <v>240000</v>
      </c>
      <c r="U29" s="7">
        <f>U$27*Założenia!$D31*Eksploatacja!U$26</f>
        <v>240000</v>
      </c>
      <c r="V29" s="7">
        <f>V$27*Założenia!$D31*Eksploatacja!V$26</f>
        <v>240000</v>
      </c>
      <c r="W29" s="7">
        <f>W$27*Założenia!$D31*Eksploatacja!W$26</f>
        <v>240000</v>
      </c>
      <c r="X29" s="7">
        <f>X$27*Założenia!$D31*Eksploatacja!X$26</f>
        <v>240000</v>
      </c>
      <c r="Y29" s="7">
        <f>Y$27*Założenia!$D31*Eksploatacja!Y$26</f>
        <v>240000</v>
      </c>
      <c r="Z29" s="7">
        <f>Z$27*Założenia!$D31*Eksploatacja!Z$26</f>
        <v>240000</v>
      </c>
      <c r="AA29" s="7">
        <f>AA$27*Założenia!$D31*Eksploatacja!AA$26</f>
        <v>240000</v>
      </c>
      <c r="AB29" s="7"/>
    </row>
    <row r="30" spans="1:28">
      <c r="A30" s="38" t="str">
        <f>Założenia!$E$35</f>
        <v>Typ B</v>
      </c>
      <c r="B30" s="13" t="s">
        <v>74</v>
      </c>
      <c r="E30" s="7">
        <f>E$27*Założenia!$D32*Eksploatacja!E$26</f>
        <v>0</v>
      </c>
      <c r="F30" s="7">
        <f>F$27*Założenia!$D32*Eksploatacja!F$26</f>
        <v>0</v>
      </c>
      <c r="G30" s="7">
        <f>G$27*Założenia!$D32*Eksploatacja!G$26</f>
        <v>0</v>
      </c>
      <c r="H30" s="7">
        <f>H$27*Założenia!$D32*Eksploatacja!H$26</f>
        <v>0</v>
      </c>
      <c r="I30" s="7">
        <f>I$27*Założenia!$D32*Eksploatacja!I$26</f>
        <v>0</v>
      </c>
      <c r="J30" s="7">
        <f>J$27*Założenia!$D32*Eksploatacja!J$26</f>
        <v>240000</v>
      </c>
      <c r="K30" s="7">
        <f>K$27*Założenia!$D32*Eksploatacja!K$26</f>
        <v>240000</v>
      </c>
      <c r="L30" s="7">
        <f>L$27*Założenia!$D32*Eksploatacja!L$26</f>
        <v>240000</v>
      </c>
      <c r="M30" s="7">
        <f>M$27*Założenia!$D32*Eksploatacja!M$26</f>
        <v>240000</v>
      </c>
      <c r="N30" s="7">
        <f>N$27*Założenia!$D32*Eksploatacja!N$26</f>
        <v>240000</v>
      </c>
      <c r="O30" s="7">
        <f>O$27*Założenia!$D32*Eksploatacja!O$26</f>
        <v>240000</v>
      </c>
      <c r="P30" s="7">
        <f>P$27*Założenia!$D32*Eksploatacja!P$26</f>
        <v>240000</v>
      </c>
      <c r="Q30" s="7">
        <f>Q$27*Założenia!$D32*Eksploatacja!Q$26</f>
        <v>240000</v>
      </c>
      <c r="R30" s="7">
        <f>R$27*Założenia!$D32*Eksploatacja!R$26</f>
        <v>240000</v>
      </c>
      <c r="S30" s="7">
        <f>S$27*Założenia!$D32*Eksploatacja!S$26</f>
        <v>240000</v>
      </c>
      <c r="T30" s="7">
        <f>T$27*Założenia!$D32*Eksploatacja!T$26</f>
        <v>240000</v>
      </c>
      <c r="U30" s="7">
        <f>U$27*Założenia!$D32*Eksploatacja!U$26</f>
        <v>240000</v>
      </c>
      <c r="V30" s="7">
        <f>V$27*Założenia!$D32*Eksploatacja!V$26</f>
        <v>240000</v>
      </c>
      <c r="W30" s="7">
        <f>W$27*Założenia!$D32*Eksploatacja!W$26</f>
        <v>240000</v>
      </c>
      <c r="X30" s="7">
        <f>X$27*Założenia!$D32*Eksploatacja!X$26</f>
        <v>240000</v>
      </c>
      <c r="Y30" s="7">
        <f>Y$27*Założenia!$D32*Eksploatacja!Y$26</f>
        <v>240000</v>
      </c>
      <c r="Z30" s="7">
        <f>Z$27*Założenia!$D32*Eksploatacja!Z$26</f>
        <v>240000</v>
      </c>
      <c r="AA30" s="7">
        <f>AA$27*Założenia!$D32*Eksploatacja!AA$26</f>
        <v>240000</v>
      </c>
      <c r="AB30" s="7"/>
    </row>
    <row r="31" spans="1:28">
      <c r="A31" s="38" t="str">
        <f>Założenia!$F$35</f>
        <v>Typ C</v>
      </c>
      <c r="B31" s="13" t="s">
        <v>74</v>
      </c>
      <c r="E31" s="7">
        <f>E$27*Założenia!$D33*Eksploatacja!E$26</f>
        <v>0</v>
      </c>
      <c r="F31" s="7">
        <f>F$27*Założenia!$D33*Eksploatacja!F$26</f>
        <v>0</v>
      </c>
      <c r="G31" s="7">
        <f>G$27*Założenia!$D33*Eksploatacja!G$26</f>
        <v>0</v>
      </c>
      <c r="H31" s="7">
        <f>H$27*Założenia!$D33*Eksploatacja!H$26</f>
        <v>0</v>
      </c>
      <c r="I31" s="7">
        <f>I$27*Założenia!$D33*Eksploatacja!I$26</f>
        <v>0</v>
      </c>
      <c r="J31" s="7">
        <f>J$27*Założenia!$D33*Eksploatacja!J$26</f>
        <v>320000</v>
      </c>
      <c r="K31" s="7">
        <f>K$27*Założenia!$D33*Eksploatacja!K$26</f>
        <v>320000</v>
      </c>
      <c r="L31" s="7">
        <f>L$27*Założenia!$D33*Eksploatacja!L$26</f>
        <v>320000</v>
      </c>
      <c r="M31" s="7">
        <f>M$27*Założenia!$D33*Eksploatacja!M$26</f>
        <v>320000</v>
      </c>
      <c r="N31" s="7">
        <f>N$27*Założenia!$D33*Eksploatacja!N$26</f>
        <v>320000</v>
      </c>
      <c r="O31" s="7">
        <f>O$27*Założenia!$D33*Eksploatacja!O$26</f>
        <v>320000</v>
      </c>
      <c r="P31" s="7">
        <f>P$27*Założenia!$D33*Eksploatacja!P$26</f>
        <v>320000</v>
      </c>
      <c r="Q31" s="7">
        <f>Q$27*Założenia!$D33*Eksploatacja!Q$26</f>
        <v>320000</v>
      </c>
      <c r="R31" s="7">
        <f>R$27*Założenia!$D33*Eksploatacja!R$26</f>
        <v>320000</v>
      </c>
      <c r="S31" s="7">
        <f>S$27*Założenia!$D33*Eksploatacja!S$26</f>
        <v>320000</v>
      </c>
      <c r="T31" s="7">
        <f>T$27*Założenia!$D33*Eksploatacja!T$26</f>
        <v>320000</v>
      </c>
      <c r="U31" s="7">
        <f>U$27*Założenia!$D33*Eksploatacja!U$26</f>
        <v>320000</v>
      </c>
      <c r="V31" s="7">
        <f>V$27*Założenia!$D33*Eksploatacja!V$26</f>
        <v>320000</v>
      </c>
      <c r="W31" s="7">
        <f>W$27*Założenia!$D33*Eksploatacja!W$26</f>
        <v>320000</v>
      </c>
      <c r="X31" s="7">
        <f>X$27*Założenia!$D33*Eksploatacja!X$26</f>
        <v>320000</v>
      </c>
      <c r="Y31" s="7">
        <f>Y$27*Założenia!$D33*Eksploatacja!Y$26</f>
        <v>320000</v>
      </c>
      <c r="Z31" s="7">
        <f>Z$27*Założenia!$D33*Eksploatacja!Z$26</f>
        <v>320000</v>
      </c>
      <c r="AA31" s="7">
        <f>AA$27*Założenia!$D33*Eksploatacja!AA$26</f>
        <v>320000</v>
      </c>
      <c r="AB31" s="7"/>
    </row>
    <row r="32" spans="1:28">
      <c r="A32" t="s">
        <v>78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8" t="str">
        <f>Założenia!$D$34</f>
        <v>Typ 1</v>
      </c>
      <c r="B33" s="13" t="s">
        <v>74</v>
      </c>
      <c r="E33" s="7">
        <f>E$26*(1-E$27)*Założenia!$D27</f>
        <v>320000</v>
      </c>
      <c r="F33" s="7">
        <f>F$26*(1-F$27)*Założenia!$D27</f>
        <v>320000</v>
      </c>
      <c r="G33" s="7">
        <f>G$26*(1-G$27)*Założenia!$D27</f>
        <v>320000</v>
      </c>
      <c r="H33" s="7">
        <f>H$26*(1-H$27)*Założenia!$D27</f>
        <v>320000</v>
      </c>
      <c r="I33" s="7">
        <f>I$26*(1-I$27)*Założenia!$D27</f>
        <v>320000</v>
      </c>
      <c r="J33" s="7">
        <f>J$26*(1-J$27)*Założenia!$D27</f>
        <v>0</v>
      </c>
      <c r="K33" s="7">
        <f>K$26*(1-K$27)*Założenia!$D27</f>
        <v>0</v>
      </c>
      <c r="L33" s="7">
        <f>L$26*(1-L$27)*Założenia!$D27</f>
        <v>0</v>
      </c>
      <c r="M33" s="7">
        <f>M$26*(1-M$27)*Założenia!$D27</f>
        <v>0</v>
      </c>
      <c r="N33" s="7">
        <f>N$26*(1-N$27)*Założenia!$D27</f>
        <v>0</v>
      </c>
      <c r="O33" s="7">
        <f>O$26*(1-O$27)*Założenia!$D27</f>
        <v>0</v>
      </c>
      <c r="P33" s="7">
        <f>P$26*(1-P$27)*Założenia!$D27</f>
        <v>0</v>
      </c>
      <c r="Q33" s="7">
        <f>Q$26*(1-Q$27)*Założenia!$D27</f>
        <v>0</v>
      </c>
      <c r="R33" s="7">
        <f>R$26*(1-R$27)*Założenia!$D27</f>
        <v>0</v>
      </c>
      <c r="S33" s="7">
        <f>S$26*(1-S$27)*Założenia!$D27</f>
        <v>0</v>
      </c>
      <c r="T33" s="7">
        <f>T$26*(1-T$27)*Założenia!$D27</f>
        <v>0</v>
      </c>
      <c r="U33" s="7">
        <f>U$26*(1-U$27)*Założenia!$D27</f>
        <v>0</v>
      </c>
      <c r="V33" s="7">
        <f>V$26*(1-V$27)*Założenia!$D27</f>
        <v>0</v>
      </c>
      <c r="W33" s="7">
        <f>W$26*(1-W$27)*Założenia!$D27</f>
        <v>0</v>
      </c>
      <c r="X33" s="7">
        <f>X$26*(1-X$27)*Założenia!$D27</f>
        <v>0</v>
      </c>
      <c r="Y33" s="7">
        <f>Y$26*(1-Y$27)*Założenia!$D27</f>
        <v>0</v>
      </c>
      <c r="Z33" s="7">
        <f>Z$26*(1-Z$27)*Założenia!$D27</f>
        <v>0</v>
      </c>
      <c r="AA33" s="7">
        <f>AA$26*(1-AA$27)*Założenia!$D27</f>
        <v>0</v>
      </c>
      <c r="AB33" s="7"/>
    </row>
    <row r="34" spans="1:28">
      <c r="A34" s="38" t="str">
        <f>Założenia!$E$34</f>
        <v>Typ 2</v>
      </c>
      <c r="B34" s="13" t="s">
        <v>74</v>
      </c>
      <c r="E34" s="7">
        <f>E$26*(1-E$27)*Założenia!$D28</f>
        <v>320000</v>
      </c>
      <c r="F34" s="7">
        <f>F$26*(1-F$27)*Założenia!$D28</f>
        <v>320000</v>
      </c>
      <c r="G34" s="7">
        <f>G$26*(1-G$27)*Założenia!$D28</f>
        <v>320000</v>
      </c>
      <c r="H34" s="7">
        <f>H$26*(1-H$27)*Założenia!$D28</f>
        <v>320000</v>
      </c>
      <c r="I34" s="7">
        <f>I$26*(1-I$27)*Założenia!$D28</f>
        <v>320000</v>
      </c>
      <c r="J34" s="7">
        <f>J$26*(1-J$27)*Założenia!$D28</f>
        <v>0</v>
      </c>
      <c r="K34" s="7">
        <f>K$26*(1-K$27)*Założenia!$D28</f>
        <v>0</v>
      </c>
      <c r="L34" s="7">
        <f>L$26*(1-L$27)*Założenia!$D28</f>
        <v>0</v>
      </c>
      <c r="M34" s="7">
        <f>M$26*(1-M$27)*Założenia!$D28</f>
        <v>0</v>
      </c>
      <c r="N34" s="7">
        <f>N$26*(1-N$27)*Założenia!$D28</f>
        <v>0</v>
      </c>
      <c r="O34" s="7">
        <f>O$26*(1-O$27)*Założenia!$D28</f>
        <v>0</v>
      </c>
      <c r="P34" s="7">
        <f>P$26*(1-P$27)*Założenia!$D28</f>
        <v>0</v>
      </c>
      <c r="Q34" s="7">
        <f>Q$26*(1-Q$27)*Założenia!$D28</f>
        <v>0</v>
      </c>
      <c r="R34" s="7">
        <f>R$26*(1-R$27)*Założenia!$D28</f>
        <v>0</v>
      </c>
      <c r="S34" s="7">
        <f>S$26*(1-S$27)*Założenia!$D28</f>
        <v>0</v>
      </c>
      <c r="T34" s="7">
        <f>T$26*(1-T$27)*Założenia!$D28</f>
        <v>0</v>
      </c>
      <c r="U34" s="7">
        <f>U$26*(1-U$27)*Założenia!$D28</f>
        <v>0</v>
      </c>
      <c r="V34" s="7">
        <f>V$26*(1-V$27)*Założenia!$D28</f>
        <v>0</v>
      </c>
      <c r="W34" s="7">
        <f>W$26*(1-W$27)*Założenia!$D28</f>
        <v>0</v>
      </c>
      <c r="X34" s="7">
        <f>X$26*(1-X$27)*Założenia!$D28</f>
        <v>0</v>
      </c>
      <c r="Y34" s="7">
        <f>Y$26*(1-Y$27)*Założenia!$D28</f>
        <v>0</v>
      </c>
      <c r="Z34" s="7">
        <f>Z$26*(1-Z$27)*Założenia!$D28</f>
        <v>0</v>
      </c>
      <c r="AA34" s="7">
        <f>AA$26*(1-AA$27)*Założenia!$D28</f>
        <v>0</v>
      </c>
      <c r="AB34" s="7"/>
    </row>
    <row r="35" spans="1:28">
      <c r="A35" s="38" t="str">
        <f>Założenia!$F$34</f>
        <v>Typ 3</v>
      </c>
      <c r="B35" s="13" t="s">
        <v>74</v>
      </c>
      <c r="E35" s="7">
        <f>E$26*(1-E$27)*Założenia!$D29</f>
        <v>160000</v>
      </c>
      <c r="F35" s="7">
        <f>F$26*(1-F$27)*Założenia!$D29</f>
        <v>160000</v>
      </c>
      <c r="G35" s="7">
        <f>G$26*(1-G$27)*Założenia!$D29</f>
        <v>160000</v>
      </c>
      <c r="H35" s="7">
        <f>H$26*(1-H$27)*Założenia!$D29</f>
        <v>160000</v>
      </c>
      <c r="I35" s="7">
        <f>I$26*(1-I$27)*Założenia!$D29</f>
        <v>160000</v>
      </c>
      <c r="J35" s="7">
        <f>J$26*(1-J$27)*Założenia!$D29</f>
        <v>0</v>
      </c>
      <c r="K35" s="7">
        <f>K$26*(1-K$27)*Założenia!$D29</f>
        <v>0</v>
      </c>
      <c r="L35" s="7">
        <f>L$26*(1-L$27)*Założenia!$D29</f>
        <v>0</v>
      </c>
      <c r="M35" s="7">
        <f>M$26*(1-M$27)*Założenia!$D29</f>
        <v>0</v>
      </c>
      <c r="N35" s="7">
        <f>N$26*(1-N$27)*Założenia!$D29</f>
        <v>0</v>
      </c>
      <c r="O35" s="7">
        <f>O$26*(1-O$27)*Założenia!$D29</f>
        <v>0</v>
      </c>
      <c r="P35" s="7">
        <f>P$26*(1-P$27)*Założenia!$D29</f>
        <v>0</v>
      </c>
      <c r="Q35" s="7">
        <f>Q$26*(1-Q$27)*Założenia!$D29</f>
        <v>0</v>
      </c>
      <c r="R35" s="7">
        <f>R$26*(1-R$27)*Założenia!$D29</f>
        <v>0</v>
      </c>
      <c r="S35" s="7">
        <f>S$26*(1-S$27)*Założenia!$D29</f>
        <v>0</v>
      </c>
      <c r="T35" s="7">
        <f>T$26*(1-T$27)*Założenia!$D29</f>
        <v>0</v>
      </c>
      <c r="U35" s="7">
        <f>U$26*(1-U$27)*Założenia!$D29</f>
        <v>0</v>
      </c>
      <c r="V35" s="7">
        <f>V$26*(1-V$27)*Założenia!$D29</f>
        <v>0</v>
      </c>
      <c r="W35" s="7">
        <f>W$26*(1-W$27)*Założenia!$D29</f>
        <v>0</v>
      </c>
      <c r="X35" s="7">
        <f>X$26*(1-X$27)*Założenia!$D29</f>
        <v>0</v>
      </c>
      <c r="Y35" s="7">
        <f>Y$26*(1-Y$27)*Założenia!$D29</f>
        <v>0</v>
      </c>
      <c r="Z35" s="7">
        <f>Z$26*(1-Z$27)*Założenia!$D29</f>
        <v>0</v>
      </c>
      <c r="AA35" s="7">
        <f>AA$26*(1-AA$27)*Założenia!$D29</f>
        <v>0</v>
      </c>
      <c r="AB35" s="7"/>
    </row>
    <row r="36" spans="1:28">
      <c r="A36" t="s">
        <v>47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 t="str">
        <f>Założenia!$D$35</f>
        <v>Typ A</v>
      </c>
      <c r="B37" s="13" t="s">
        <v>35</v>
      </c>
      <c r="E37" s="7">
        <f>Założenia!D128</f>
        <v>6.24</v>
      </c>
      <c r="F37" s="7">
        <f>E37</f>
        <v>6.24</v>
      </c>
      <c r="G37" s="7">
        <f t="shared" ref="G37:AA39" si="5">F37</f>
        <v>6.24</v>
      </c>
      <c r="H37" s="7">
        <f t="shared" si="5"/>
        <v>6.24</v>
      </c>
      <c r="I37" s="7">
        <f t="shared" si="5"/>
        <v>6.24</v>
      </c>
      <c r="J37" s="7">
        <f t="shared" si="5"/>
        <v>6.24</v>
      </c>
      <c r="K37" s="7">
        <f t="shared" si="5"/>
        <v>6.24</v>
      </c>
      <c r="L37" s="7">
        <f t="shared" si="5"/>
        <v>6.24</v>
      </c>
      <c r="M37" s="7">
        <f t="shared" si="5"/>
        <v>6.24</v>
      </c>
      <c r="N37" s="7">
        <f t="shared" si="5"/>
        <v>6.24</v>
      </c>
      <c r="O37" s="7">
        <f t="shared" si="5"/>
        <v>6.24</v>
      </c>
      <c r="P37" s="7">
        <f t="shared" si="5"/>
        <v>6.24</v>
      </c>
      <c r="Q37" s="7">
        <f t="shared" si="5"/>
        <v>6.24</v>
      </c>
      <c r="R37" s="7">
        <f t="shared" si="5"/>
        <v>6.24</v>
      </c>
      <c r="S37" s="7">
        <f t="shared" si="5"/>
        <v>6.24</v>
      </c>
      <c r="T37" s="7">
        <f t="shared" si="5"/>
        <v>6.24</v>
      </c>
      <c r="U37" s="7">
        <f t="shared" si="5"/>
        <v>6.24</v>
      </c>
      <c r="V37" s="7">
        <f t="shared" si="5"/>
        <v>6.24</v>
      </c>
      <c r="W37" s="7">
        <f t="shared" si="5"/>
        <v>6.24</v>
      </c>
      <c r="X37" s="7">
        <f t="shared" si="5"/>
        <v>6.24</v>
      </c>
      <c r="Y37" s="7">
        <f t="shared" si="5"/>
        <v>6.24</v>
      </c>
      <c r="Z37" s="7">
        <f t="shared" si="5"/>
        <v>6.24</v>
      </c>
      <c r="AA37" s="7">
        <f t="shared" si="5"/>
        <v>6.24</v>
      </c>
      <c r="AB37" s="7"/>
    </row>
    <row r="38" spans="1:28">
      <c r="A38" s="38" t="str">
        <f>Założenia!$E$35</f>
        <v>Typ B</v>
      </c>
      <c r="B38" s="13" t="s">
        <v>35</v>
      </c>
      <c r="E38" s="7">
        <f>Założenia!E128</f>
        <v>6.3849999999999998</v>
      </c>
      <c r="F38" s="7">
        <f t="shared" ref="F38:U39" si="6">E38</f>
        <v>6.3849999999999998</v>
      </c>
      <c r="G38" s="7">
        <f t="shared" si="6"/>
        <v>6.3849999999999998</v>
      </c>
      <c r="H38" s="7">
        <f t="shared" si="6"/>
        <v>6.3849999999999998</v>
      </c>
      <c r="I38" s="7">
        <f t="shared" si="6"/>
        <v>6.3849999999999998</v>
      </c>
      <c r="J38" s="7">
        <f t="shared" si="6"/>
        <v>6.3849999999999998</v>
      </c>
      <c r="K38" s="7">
        <f t="shared" si="6"/>
        <v>6.3849999999999998</v>
      </c>
      <c r="L38" s="7">
        <f t="shared" si="6"/>
        <v>6.3849999999999998</v>
      </c>
      <c r="M38" s="7">
        <f t="shared" si="6"/>
        <v>6.3849999999999998</v>
      </c>
      <c r="N38" s="7">
        <f t="shared" si="6"/>
        <v>6.3849999999999998</v>
      </c>
      <c r="O38" s="7">
        <f t="shared" si="6"/>
        <v>6.3849999999999998</v>
      </c>
      <c r="P38" s="7">
        <f t="shared" si="6"/>
        <v>6.3849999999999998</v>
      </c>
      <c r="Q38" s="7">
        <f t="shared" si="6"/>
        <v>6.3849999999999998</v>
      </c>
      <c r="R38" s="7">
        <f t="shared" si="6"/>
        <v>6.3849999999999998</v>
      </c>
      <c r="S38" s="7">
        <f t="shared" si="6"/>
        <v>6.3849999999999998</v>
      </c>
      <c r="T38" s="7">
        <f t="shared" si="6"/>
        <v>6.3849999999999998</v>
      </c>
      <c r="U38" s="7">
        <f t="shared" si="6"/>
        <v>6.3849999999999998</v>
      </c>
      <c r="V38" s="7">
        <f t="shared" si="5"/>
        <v>6.3849999999999998</v>
      </c>
      <c r="W38" s="7">
        <f t="shared" si="5"/>
        <v>6.3849999999999998</v>
      </c>
      <c r="X38" s="7">
        <f t="shared" si="5"/>
        <v>6.3849999999999998</v>
      </c>
      <c r="Y38" s="7">
        <f t="shared" si="5"/>
        <v>6.3849999999999998</v>
      </c>
      <c r="Z38" s="7">
        <f t="shared" si="5"/>
        <v>6.3849999999999998</v>
      </c>
      <c r="AA38" s="7">
        <f t="shared" si="5"/>
        <v>6.3849999999999998</v>
      </c>
      <c r="AB38" s="7"/>
    </row>
    <row r="39" spans="1:28">
      <c r="A39" s="38" t="str">
        <f>Założenia!$F$35</f>
        <v>Typ C</v>
      </c>
      <c r="B39" s="13" t="s">
        <v>35</v>
      </c>
      <c r="E39" s="7">
        <f>Założenia!F128</f>
        <v>6.53</v>
      </c>
      <c r="F39" s="7">
        <f t="shared" si="6"/>
        <v>6.53</v>
      </c>
      <c r="G39" s="7">
        <f t="shared" si="5"/>
        <v>6.53</v>
      </c>
      <c r="H39" s="7">
        <f t="shared" si="5"/>
        <v>6.53</v>
      </c>
      <c r="I39" s="7">
        <f t="shared" si="5"/>
        <v>6.53</v>
      </c>
      <c r="J39" s="7">
        <f t="shared" si="5"/>
        <v>6.53</v>
      </c>
      <c r="K39" s="7">
        <f t="shared" si="5"/>
        <v>6.53</v>
      </c>
      <c r="L39" s="7">
        <f t="shared" si="5"/>
        <v>6.53</v>
      </c>
      <c r="M39" s="7">
        <f t="shared" si="5"/>
        <v>6.53</v>
      </c>
      <c r="N39" s="7">
        <f t="shared" si="5"/>
        <v>6.53</v>
      </c>
      <c r="O39" s="7">
        <f t="shared" si="5"/>
        <v>6.53</v>
      </c>
      <c r="P39" s="7">
        <f t="shared" si="5"/>
        <v>6.53</v>
      </c>
      <c r="Q39" s="7">
        <f t="shared" si="5"/>
        <v>6.53</v>
      </c>
      <c r="R39" s="7">
        <f t="shared" si="5"/>
        <v>6.53</v>
      </c>
      <c r="S39" s="7">
        <f t="shared" si="5"/>
        <v>6.53</v>
      </c>
      <c r="T39" s="7">
        <f t="shared" si="5"/>
        <v>6.53</v>
      </c>
      <c r="U39" s="7">
        <f t="shared" si="5"/>
        <v>6.53</v>
      </c>
      <c r="V39" s="7">
        <f t="shared" si="5"/>
        <v>6.53</v>
      </c>
      <c r="W39" s="7">
        <f t="shared" si="5"/>
        <v>6.53</v>
      </c>
      <c r="X39" s="7">
        <f t="shared" si="5"/>
        <v>6.53</v>
      </c>
      <c r="Y39" s="7">
        <f t="shared" si="5"/>
        <v>6.53</v>
      </c>
      <c r="Z39" s="7">
        <f t="shared" si="5"/>
        <v>6.53</v>
      </c>
      <c r="AA39" s="7">
        <f t="shared" si="5"/>
        <v>6.53</v>
      </c>
      <c r="AB39" s="7"/>
    </row>
    <row r="40" spans="1:28">
      <c r="A40" t="s">
        <v>79</v>
      </c>
      <c r="E40" s="7">
        <f t="shared" ref="E40:AA40" si="7">E33*E12+E34*E13+E35*E14+E29*E37+E30*E38+E31*E39</f>
        <v>5759600</v>
      </c>
      <c r="F40" s="7">
        <f t="shared" si="7"/>
        <v>5759600</v>
      </c>
      <c r="G40" s="7">
        <f t="shared" si="7"/>
        <v>5759600</v>
      </c>
      <c r="H40" s="7">
        <f t="shared" si="7"/>
        <v>5759600</v>
      </c>
      <c r="I40" s="7">
        <f t="shared" si="7"/>
        <v>5759600</v>
      </c>
      <c r="J40" s="7">
        <f t="shared" si="7"/>
        <v>5119600</v>
      </c>
      <c r="K40" s="7">
        <f t="shared" si="7"/>
        <v>5119600</v>
      </c>
      <c r="L40" s="7">
        <f t="shared" si="7"/>
        <v>5119600</v>
      </c>
      <c r="M40" s="7">
        <f t="shared" si="7"/>
        <v>5119600</v>
      </c>
      <c r="N40" s="7">
        <f t="shared" si="7"/>
        <v>5119600</v>
      </c>
      <c r="O40" s="7">
        <f t="shared" si="7"/>
        <v>5119600</v>
      </c>
      <c r="P40" s="7">
        <f t="shared" si="7"/>
        <v>5119600</v>
      </c>
      <c r="Q40" s="7">
        <f t="shared" si="7"/>
        <v>5119600</v>
      </c>
      <c r="R40" s="7">
        <f t="shared" si="7"/>
        <v>5119600</v>
      </c>
      <c r="S40" s="7">
        <f t="shared" si="7"/>
        <v>5119600</v>
      </c>
      <c r="T40" s="7">
        <f t="shared" si="7"/>
        <v>5119600</v>
      </c>
      <c r="U40" s="7">
        <f t="shared" si="7"/>
        <v>5119600</v>
      </c>
      <c r="V40" s="7">
        <f t="shared" si="7"/>
        <v>5119600</v>
      </c>
      <c r="W40" s="7">
        <f t="shared" si="7"/>
        <v>5119600</v>
      </c>
      <c r="X40" s="7">
        <f t="shared" si="7"/>
        <v>5119600</v>
      </c>
      <c r="Y40" s="7">
        <f t="shared" si="7"/>
        <v>5119600</v>
      </c>
      <c r="Z40" s="7">
        <f t="shared" si="7"/>
        <v>5119600</v>
      </c>
      <c r="AA40" s="7">
        <f t="shared" si="7"/>
        <v>5119600</v>
      </c>
      <c r="AB40" s="7"/>
    </row>
    <row r="41" spans="1:28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t="s">
        <v>80</v>
      </c>
      <c r="B42" s="13" t="s">
        <v>17</v>
      </c>
      <c r="E42" s="7">
        <f>Założenia!E145</f>
        <v>0</v>
      </c>
      <c r="F42" s="7">
        <f>Założenia!F145</f>
        <v>0</v>
      </c>
      <c r="G42" s="7">
        <f>Założenia!G145</f>
        <v>0</v>
      </c>
      <c r="H42" s="7">
        <f>Założenia!H145</f>
        <v>0</v>
      </c>
      <c r="I42" s="7">
        <f>Założenia!I145</f>
        <v>0</v>
      </c>
      <c r="J42" s="7">
        <f>Założenia!J145</f>
        <v>0</v>
      </c>
      <c r="K42" s="7">
        <f>Założenia!K145</f>
        <v>0</v>
      </c>
      <c r="L42" s="7">
        <f>Założenia!L145</f>
        <v>0</v>
      </c>
      <c r="M42" s="7">
        <f>Założenia!M145</f>
        <v>0</v>
      </c>
      <c r="N42" s="7">
        <f>Założenia!N145</f>
        <v>0</v>
      </c>
      <c r="O42" s="7">
        <f>Założenia!O145</f>
        <v>0</v>
      </c>
      <c r="P42" s="7">
        <f>Założenia!P145</f>
        <v>0</v>
      </c>
      <c r="Q42" s="7">
        <f>Założenia!Q145</f>
        <v>0</v>
      </c>
      <c r="R42" s="7">
        <f>Założenia!R145</f>
        <v>0</v>
      </c>
      <c r="S42" s="7">
        <f>Założenia!S145</f>
        <v>0</v>
      </c>
      <c r="T42" s="7">
        <f>Założenia!T145</f>
        <v>0</v>
      </c>
      <c r="U42" s="7">
        <f>Założenia!U145</f>
        <v>0</v>
      </c>
      <c r="V42" s="7">
        <f>Założenia!V145</f>
        <v>0</v>
      </c>
      <c r="W42" s="7">
        <f>Założenia!W145</f>
        <v>0</v>
      </c>
      <c r="X42" s="7">
        <f>Założenia!X145</f>
        <v>0</v>
      </c>
      <c r="Y42" s="7">
        <f>Założenia!Y145</f>
        <v>0</v>
      </c>
      <c r="Z42" s="7">
        <f>Założenia!Z145</f>
        <v>0</v>
      </c>
      <c r="AA42" s="7">
        <f>Założenia!AA145</f>
        <v>0</v>
      </c>
      <c r="AB42" s="7"/>
    </row>
    <row r="43" spans="1:28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t="s">
        <v>239</v>
      </c>
      <c r="B44" s="13" t="s">
        <v>17</v>
      </c>
      <c r="E44" s="7">
        <f>Założenia!E147</f>
        <v>0</v>
      </c>
      <c r="F44" s="7">
        <f>Założenia!F147</f>
        <v>0</v>
      </c>
      <c r="G44" s="7">
        <f>Założenia!G147</f>
        <v>0</v>
      </c>
      <c r="H44" s="7">
        <f>Założenia!H147</f>
        <v>0</v>
      </c>
      <c r="I44" s="7">
        <f>Założenia!I147</f>
        <v>0</v>
      </c>
      <c r="J44" s="7">
        <f>Założenia!J147</f>
        <v>0</v>
      </c>
      <c r="K44" s="7">
        <f>Założenia!K147</f>
        <v>0</v>
      </c>
      <c r="L44" s="7">
        <f>Założenia!L147</f>
        <v>0</v>
      </c>
      <c r="M44" s="7">
        <f>Założenia!M147</f>
        <v>0</v>
      </c>
      <c r="N44" s="7">
        <f>Założenia!N147</f>
        <v>0</v>
      </c>
      <c r="O44" s="7">
        <f>Założenia!O147</f>
        <v>0</v>
      </c>
      <c r="P44" s="7">
        <f>Założenia!P147</f>
        <v>0</v>
      </c>
      <c r="Q44" s="7">
        <f>Założenia!Q147</f>
        <v>0</v>
      </c>
      <c r="R44" s="7">
        <f>Założenia!R147</f>
        <v>500000</v>
      </c>
      <c r="S44" s="7">
        <f>Założenia!S147</f>
        <v>0</v>
      </c>
      <c r="T44" s="7">
        <f>Założenia!T147</f>
        <v>0</v>
      </c>
      <c r="U44" s="7">
        <f>Założenia!U147</f>
        <v>0</v>
      </c>
      <c r="V44" s="7">
        <f>Założenia!V147</f>
        <v>0</v>
      </c>
      <c r="W44" s="7">
        <f>Założenia!W147</f>
        <v>0</v>
      </c>
      <c r="X44" s="7">
        <f>Założenia!X147</f>
        <v>0</v>
      </c>
      <c r="Y44" s="7">
        <f>Założenia!Y147</f>
        <v>0</v>
      </c>
      <c r="Z44" s="7">
        <f>Założenia!Z147</f>
        <v>0</v>
      </c>
      <c r="AA44" s="7">
        <f>Założenia!AA147</f>
        <v>0</v>
      </c>
      <c r="AB44" s="7"/>
    </row>
    <row r="45" spans="1:28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t="s">
        <v>81</v>
      </c>
      <c r="B46" s="13" t="s">
        <v>17</v>
      </c>
      <c r="E46" s="7">
        <f>Założenia!E149</f>
        <v>0</v>
      </c>
      <c r="F46" s="7">
        <f>Założenia!F149</f>
        <v>0</v>
      </c>
      <c r="G46" s="7">
        <f>Założenia!G149</f>
        <v>0</v>
      </c>
      <c r="H46" s="7">
        <f>Założenia!H149</f>
        <v>0</v>
      </c>
      <c r="I46" s="7">
        <f>Założenia!I149</f>
        <v>0</v>
      </c>
      <c r="J46" s="7">
        <f>Założenia!J149</f>
        <v>0</v>
      </c>
      <c r="K46" s="7">
        <f>Założenia!K149</f>
        <v>0</v>
      </c>
      <c r="L46" s="7">
        <f>Założenia!L149</f>
        <v>0</v>
      </c>
      <c r="M46" s="7">
        <f>Założenia!M149</f>
        <v>0</v>
      </c>
      <c r="N46" s="7">
        <f>Założenia!N149</f>
        <v>0</v>
      </c>
      <c r="O46" s="7">
        <f>Założenia!O149</f>
        <v>0</v>
      </c>
      <c r="P46" s="7">
        <f>Założenia!P149</f>
        <v>500000</v>
      </c>
      <c r="Q46" s="7">
        <f>Założenia!Q149</f>
        <v>0</v>
      </c>
      <c r="R46" s="7">
        <f>Założenia!R149</f>
        <v>0</v>
      </c>
      <c r="S46" s="7">
        <f>Założenia!S149</f>
        <v>0</v>
      </c>
      <c r="T46" s="7">
        <f>Założenia!T149</f>
        <v>0</v>
      </c>
      <c r="U46" s="7">
        <f>Założenia!U149</f>
        <v>0</v>
      </c>
      <c r="V46" s="7">
        <f>Założenia!V149</f>
        <v>0</v>
      </c>
      <c r="W46" s="7">
        <f>Założenia!W149</f>
        <v>0</v>
      </c>
      <c r="X46" s="7">
        <f>Założenia!X149</f>
        <v>0</v>
      </c>
      <c r="Y46" s="7">
        <f>Założenia!Y149</f>
        <v>0</v>
      </c>
      <c r="Z46" s="7">
        <f>Założenia!Z149</f>
        <v>0</v>
      </c>
      <c r="AA46" s="7">
        <f>Założenia!AA149</f>
        <v>0</v>
      </c>
      <c r="AB46" s="7"/>
    </row>
    <row r="47" spans="1:28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t="s">
        <v>370</v>
      </c>
      <c r="B48" s="13" t="s">
        <v>17</v>
      </c>
      <c r="E48" s="7">
        <f>E20</f>
        <v>10000</v>
      </c>
      <c r="F48" s="7">
        <f t="shared" ref="F48:AA48" si="8">F20</f>
        <v>10085</v>
      </c>
      <c r="G48" s="7">
        <f t="shared" si="8"/>
        <v>10170.725</v>
      </c>
      <c r="H48" s="7">
        <f t="shared" si="8"/>
        <v>10257.174999999999</v>
      </c>
      <c r="I48" s="7">
        <f t="shared" si="8"/>
        <v>10344.36</v>
      </c>
      <c r="J48" s="7">
        <f t="shared" si="8"/>
        <v>10432.285</v>
      </c>
      <c r="K48" s="7">
        <f t="shared" si="8"/>
        <v>10520.96</v>
      </c>
      <c r="L48" s="7">
        <f t="shared" si="8"/>
        <v>10610.39</v>
      </c>
      <c r="M48" s="7">
        <f t="shared" si="8"/>
        <v>10700.58</v>
      </c>
      <c r="N48" s="7">
        <f t="shared" si="8"/>
        <v>10791.53</v>
      </c>
      <c r="O48" s="7">
        <f t="shared" si="8"/>
        <v>10883.26</v>
      </c>
      <c r="P48" s="7">
        <f t="shared" si="8"/>
        <v>10975.77</v>
      </c>
      <c r="Q48" s="7">
        <f t="shared" si="8"/>
        <v>11069.06</v>
      </c>
      <c r="R48" s="7">
        <f t="shared" si="8"/>
        <v>11163.15</v>
      </c>
      <c r="S48" s="7">
        <f t="shared" si="8"/>
        <v>11258.035</v>
      </c>
      <c r="T48" s="7">
        <f t="shared" si="8"/>
        <v>11353.73</v>
      </c>
      <c r="U48" s="7">
        <f t="shared" si="8"/>
        <v>11450.235000000001</v>
      </c>
      <c r="V48" s="7">
        <f t="shared" si="8"/>
        <v>11547.565000000001</v>
      </c>
      <c r="W48" s="7">
        <f t="shared" si="8"/>
        <v>11645.715</v>
      </c>
      <c r="X48" s="7">
        <f t="shared" si="8"/>
        <v>11744.705</v>
      </c>
      <c r="Y48" s="7">
        <f t="shared" si="8"/>
        <v>11844.535</v>
      </c>
      <c r="Z48" s="7">
        <f t="shared" si="8"/>
        <v>11945.215</v>
      </c>
      <c r="AA48" s="7">
        <f t="shared" si="8"/>
        <v>12046.75</v>
      </c>
      <c r="AB48" s="7"/>
    </row>
    <row r="49" spans="1:37">
      <c r="A49" t="s">
        <v>371</v>
      </c>
      <c r="B49" s="13" t="s">
        <v>17</v>
      </c>
      <c r="E49" s="7">
        <f>IF(E$1&gt;=Założenia!$D$48,Założenia!$D$38*Założenia!$D$161,Założenia!$D$38*Założenia!$D$160)</f>
        <v>30000</v>
      </c>
      <c r="F49" s="7">
        <f>IF(F$1&gt;=Założenia!$D$48,Założenia!$D$38*Założenia!$D$161,Założenia!$D$38*Założenia!$D$160)</f>
        <v>30000</v>
      </c>
      <c r="G49" s="7">
        <f>IF(G$1&gt;=Założenia!$D$48,Założenia!$D$38*Założenia!$D$161,Założenia!$D$38*Założenia!$D$160)</f>
        <v>30000</v>
      </c>
      <c r="H49" s="7">
        <f>IF(H$1&gt;=Założenia!$D$48,Założenia!$D$38*Założenia!$D$161,Założenia!$D$38*Założenia!$D$160)</f>
        <v>30000</v>
      </c>
      <c r="I49" s="7">
        <f>IF(I$1&gt;=Założenia!$D$48,Założenia!$D$38*Założenia!$D$161,Założenia!$D$38*Założenia!$D$160)</f>
        <v>30000</v>
      </c>
      <c r="J49" s="7">
        <f>IF(J$1&gt;=Założenia!$D$48,Założenia!$D$38*Założenia!$D$161,Założenia!$D$38*Założenia!$D$160)</f>
        <v>100000</v>
      </c>
      <c r="K49" s="7">
        <f>IF(K$1&gt;=Założenia!$D$48,Założenia!$D$38*Założenia!$D$161,Założenia!$D$38*Założenia!$D$160)</f>
        <v>100000</v>
      </c>
      <c r="L49" s="7">
        <f>IF(L$1&gt;=Założenia!$D$48,Założenia!$D$38*Założenia!$D$161,Założenia!$D$38*Założenia!$D$160)</f>
        <v>100000</v>
      </c>
      <c r="M49" s="7">
        <f>IF(M$1&gt;=Założenia!$D$48,Założenia!$D$38*Założenia!$D$161,Założenia!$D$38*Założenia!$D$160)</f>
        <v>100000</v>
      </c>
      <c r="N49" s="7">
        <f>IF(N$1&gt;=Założenia!$D$48,Założenia!$D$38*Założenia!$D$161,Założenia!$D$38*Założenia!$D$160)</f>
        <v>100000</v>
      </c>
      <c r="O49" s="7">
        <f>IF(O$1&gt;=Założenia!$D$48,Założenia!$D$38*Założenia!$D$161,Założenia!$D$38*Założenia!$D$160)</f>
        <v>100000</v>
      </c>
      <c r="P49" s="7">
        <f>IF(P$1&gt;=Założenia!$D$48,Założenia!$D$38*Założenia!$D$161,Założenia!$D$38*Założenia!$D$160)</f>
        <v>100000</v>
      </c>
      <c r="Q49" s="7">
        <f>IF(Q$1&gt;=Założenia!$D$48,Założenia!$D$38*Założenia!$D$161,Założenia!$D$38*Założenia!$D$160)</f>
        <v>100000</v>
      </c>
      <c r="R49" s="7">
        <f>IF(R$1&gt;=Założenia!$D$48,Założenia!$D$38*Założenia!$D$161,Założenia!$D$38*Założenia!$D$160)</f>
        <v>100000</v>
      </c>
      <c r="S49" s="7">
        <f>IF(S$1&gt;=Założenia!$D$48,Założenia!$D$38*Założenia!$D$161,Założenia!$D$38*Założenia!$D$160)</f>
        <v>100000</v>
      </c>
      <c r="T49" s="7">
        <f>IF(T$1&gt;=Założenia!$D$48,Założenia!$D$38*Założenia!$D$161,Założenia!$D$38*Założenia!$D$160)</f>
        <v>100000</v>
      </c>
      <c r="U49" s="7">
        <f>IF(U$1&gt;=Założenia!$D$48,Założenia!$D$38*Założenia!$D$161,Założenia!$D$38*Założenia!$D$160)</f>
        <v>100000</v>
      </c>
      <c r="V49" s="7">
        <f>IF(V$1&gt;=Założenia!$D$48,Założenia!$D$38*Założenia!$D$161,Założenia!$D$38*Założenia!$D$160)</f>
        <v>100000</v>
      </c>
      <c r="W49" s="7">
        <f>IF(W$1&gt;=Założenia!$D$48,Założenia!$D$38*Założenia!$D$161,Założenia!$D$38*Założenia!$D$160)</f>
        <v>100000</v>
      </c>
      <c r="X49" s="7">
        <f>IF(X$1&gt;=Założenia!$D$48,Założenia!$D$38*Założenia!$D$161,Założenia!$D$38*Założenia!$D$160)</f>
        <v>100000</v>
      </c>
      <c r="Y49" s="7">
        <f>IF(Y$1&gt;=Założenia!$D$48,Założenia!$D$38*Założenia!$D$161,Założenia!$D$38*Założenia!$D$160)</f>
        <v>100000</v>
      </c>
      <c r="Z49" s="7">
        <f>IF(Z$1&gt;=Założenia!$D$48,Założenia!$D$38*Założenia!$D$161,Założenia!$D$38*Założenia!$D$160)</f>
        <v>100000</v>
      </c>
      <c r="AA49" s="7">
        <f>IF(AA$1&gt;=Założenia!$D$48,Założenia!$D$38*Założenia!$D$161,Założenia!$D$38*Założenia!$D$160)</f>
        <v>100000</v>
      </c>
      <c r="AB49" s="7"/>
      <c r="AJ49" s="7"/>
      <c r="AK49" s="7"/>
    </row>
    <row r="50" spans="1:37" s="31" customFormat="1">
      <c r="A50" t="s">
        <v>271</v>
      </c>
      <c r="B50" s="13" t="s">
        <v>17</v>
      </c>
      <c r="E50" s="7">
        <f>IF(E$1&gt;=Założenia!$D$48,Założenia!$D$163,0)</f>
        <v>0</v>
      </c>
      <c r="F50" s="7">
        <f>IF(F$1&gt;=Założenia!$D$48,Założenia!$D$163,0)</f>
        <v>0</v>
      </c>
      <c r="G50" s="7">
        <f>IF(G$1&gt;=Założenia!$D$48,Założenia!$D$163,0)</f>
        <v>0</v>
      </c>
      <c r="H50" s="7">
        <f>IF(H$1&gt;=Założenia!$D$48,Założenia!$D$163,0)</f>
        <v>0</v>
      </c>
      <c r="I50" s="7">
        <f>IF(I$1&gt;=Założenia!$D$48,Założenia!$D$163,0)</f>
        <v>0</v>
      </c>
      <c r="J50" s="7">
        <f>IF(J$1&gt;=Założenia!$D$48,Założenia!$D$163,0)</f>
        <v>2000</v>
      </c>
      <c r="K50" s="7">
        <f>IF(K$1&gt;=Założenia!$D$48,Założenia!$D$163,0)</f>
        <v>2000</v>
      </c>
      <c r="L50" s="7">
        <f>IF(L$1&gt;=Założenia!$D$48,Założenia!$D$163,0)</f>
        <v>2000</v>
      </c>
      <c r="M50" s="7">
        <f>IF(M$1&gt;=Założenia!$D$48,Założenia!$D$163,0)</f>
        <v>2000</v>
      </c>
      <c r="N50" s="7">
        <f>IF(N$1&gt;=Założenia!$D$48,Założenia!$D$163,0)</f>
        <v>2000</v>
      </c>
      <c r="O50" s="7">
        <f>IF(O$1&gt;=Założenia!$D$48,Założenia!$D$163,0)</f>
        <v>2000</v>
      </c>
      <c r="P50" s="7">
        <f>IF(P$1&gt;=Założenia!$D$48,Założenia!$D$163,0)</f>
        <v>2000</v>
      </c>
      <c r="Q50" s="7">
        <f>IF(Q$1&gt;=Założenia!$D$48,Założenia!$D$163,0)</f>
        <v>2000</v>
      </c>
      <c r="R50" s="7">
        <f>IF(R$1&gt;=Założenia!$D$48,Założenia!$D$163,0)</f>
        <v>2000</v>
      </c>
      <c r="S50" s="7">
        <f>IF(S$1&gt;=Założenia!$D$48,Założenia!$D$163,0)</f>
        <v>2000</v>
      </c>
      <c r="T50" s="7">
        <f>IF(T$1&gt;=Założenia!$D$48,Założenia!$D$163,0)</f>
        <v>2000</v>
      </c>
      <c r="U50" s="7">
        <f>IF(U$1&gt;=Założenia!$D$48,Założenia!$D$163,0)</f>
        <v>2000</v>
      </c>
      <c r="V50" s="7">
        <f>IF(V$1&gt;=Założenia!$D$48,Założenia!$D$163,0)</f>
        <v>2000</v>
      </c>
      <c r="W50" s="7">
        <f>IF(W$1&gt;=Założenia!$D$48,Założenia!$D$163,0)</f>
        <v>2000</v>
      </c>
      <c r="X50" s="7">
        <f>IF(X$1&gt;=Założenia!$D$48,Założenia!$D$163,0)</f>
        <v>2000</v>
      </c>
      <c r="Y50" s="7">
        <f>IF(Y$1&gt;=Założenia!$D$48,Założenia!$D$163,0)</f>
        <v>2000</v>
      </c>
      <c r="Z50" s="7">
        <f>IF(Z$1&gt;=Założenia!$D$48,Założenia!$D$163,0)</f>
        <v>2000</v>
      </c>
      <c r="AA50" s="7">
        <f>IF(AA$1&gt;=Założenia!$D$48,Założenia!$D$163,0)</f>
        <v>2000</v>
      </c>
      <c r="AB50" s="7"/>
      <c r="AC50"/>
      <c r="AD50"/>
      <c r="AE50"/>
      <c r="AF50"/>
      <c r="AG50"/>
      <c r="AH50"/>
      <c r="AI50"/>
      <c r="AJ50"/>
      <c r="AK50"/>
    </row>
    <row r="51" spans="1:37" s="31" customFormat="1">
      <c r="A51" t="s">
        <v>83</v>
      </c>
      <c r="B51" s="13" t="s">
        <v>17</v>
      </c>
      <c r="E51" s="7">
        <f>Założenia!E105</f>
        <v>0</v>
      </c>
      <c r="F51" s="7">
        <f>Założenia!F105</f>
        <v>0</v>
      </c>
      <c r="G51" s="7">
        <f>Założenia!G105</f>
        <v>0</v>
      </c>
      <c r="H51" s="7">
        <f>Założenia!H105</f>
        <v>0</v>
      </c>
      <c r="I51" s="7">
        <f>Założenia!I105</f>
        <v>0</v>
      </c>
      <c r="J51" s="7">
        <f>Założenia!J105</f>
        <v>0</v>
      </c>
      <c r="K51" s="7">
        <f>Założenia!K105</f>
        <v>0</v>
      </c>
      <c r="L51" s="7">
        <f>Założenia!L105</f>
        <v>0</v>
      </c>
      <c r="M51" s="7">
        <f>Założenia!M105</f>
        <v>0</v>
      </c>
      <c r="N51" s="7">
        <f>Założenia!N105</f>
        <v>0</v>
      </c>
      <c r="O51" s="7">
        <f>Założenia!O105</f>
        <v>0</v>
      </c>
      <c r="P51" s="7">
        <f>Założenia!P105</f>
        <v>0</v>
      </c>
      <c r="Q51" s="7">
        <f>Założenia!Q105</f>
        <v>0</v>
      </c>
      <c r="R51" s="7">
        <f>Założenia!R105</f>
        <v>0</v>
      </c>
      <c r="S51" s="7">
        <f>Założenia!S105</f>
        <v>0</v>
      </c>
      <c r="T51" s="7">
        <f>Założenia!T105</f>
        <v>0</v>
      </c>
      <c r="U51" s="7">
        <f>Założenia!U105</f>
        <v>0</v>
      </c>
      <c r="V51" s="7">
        <f>Założenia!V105</f>
        <v>0</v>
      </c>
      <c r="W51" s="7">
        <f>Założenia!W105</f>
        <v>0</v>
      </c>
      <c r="X51" s="7">
        <f>Założenia!X105</f>
        <v>0</v>
      </c>
      <c r="Y51" s="7">
        <f>Założenia!Y105</f>
        <v>0</v>
      </c>
      <c r="Z51" s="7">
        <f>Założenia!Z105</f>
        <v>0</v>
      </c>
      <c r="AA51" s="7">
        <f>Założenia!AA105</f>
        <v>0</v>
      </c>
      <c r="AB51" s="7"/>
      <c r="AC51"/>
      <c r="AD51"/>
      <c r="AE51"/>
      <c r="AF51"/>
      <c r="AG51"/>
      <c r="AH51"/>
      <c r="AI51"/>
      <c r="AJ51"/>
      <c r="AK51"/>
    </row>
    <row r="52" spans="1:37" s="31" customFormat="1">
      <c r="A52" t="s">
        <v>382</v>
      </c>
      <c r="B52" s="13" t="s">
        <v>17</v>
      </c>
      <c r="E52" s="7">
        <f>Założenia!E167</f>
        <v>0</v>
      </c>
      <c r="F52" s="7">
        <f>Założenia!F167</f>
        <v>0</v>
      </c>
      <c r="G52" s="7">
        <f>Założenia!G167</f>
        <v>0</v>
      </c>
      <c r="H52" s="7">
        <f>Założenia!H167</f>
        <v>0</v>
      </c>
      <c r="I52" s="7">
        <f>Założenia!I167</f>
        <v>0</v>
      </c>
      <c r="J52" s="7">
        <f>Założenia!J167</f>
        <v>0</v>
      </c>
      <c r="K52" s="7">
        <f>Założenia!K167</f>
        <v>0</v>
      </c>
      <c r="L52" s="7">
        <f>Założenia!L167</f>
        <v>0</v>
      </c>
      <c r="M52" s="7">
        <f>Założenia!M167</f>
        <v>0</v>
      </c>
      <c r="N52" s="7">
        <f>Założenia!N167</f>
        <v>0</v>
      </c>
      <c r="O52" s="7">
        <f>Założenia!O167</f>
        <v>0</v>
      </c>
      <c r="P52" s="7">
        <f>Założenia!P167</f>
        <v>0</v>
      </c>
      <c r="Q52" s="7">
        <f>Założenia!Q167</f>
        <v>0</v>
      </c>
      <c r="R52" s="7">
        <f>Założenia!R167</f>
        <v>0</v>
      </c>
      <c r="S52" s="7">
        <f>Założenia!S167</f>
        <v>0</v>
      </c>
      <c r="T52" s="7">
        <f>Założenia!T167</f>
        <v>0</v>
      </c>
      <c r="U52" s="7">
        <f>Założenia!U167</f>
        <v>0</v>
      </c>
      <c r="V52" s="7">
        <f>Założenia!V167</f>
        <v>0</v>
      </c>
      <c r="W52" s="7">
        <f>Założenia!W167</f>
        <v>0</v>
      </c>
      <c r="X52" s="7">
        <f>Założenia!X167</f>
        <v>0</v>
      </c>
      <c r="Y52" s="7">
        <f>Założenia!Y167</f>
        <v>0</v>
      </c>
      <c r="Z52" s="7">
        <f>Założenia!Z167</f>
        <v>0</v>
      </c>
      <c r="AA52" s="7">
        <f>Założenia!AA167</f>
        <v>0</v>
      </c>
      <c r="AB52" s="7"/>
      <c r="AC52"/>
      <c r="AD52"/>
      <c r="AE52"/>
      <c r="AF52"/>
      <c r="AG52"/>
      <c r="AH52"/>
      <c r="AI52"/>
      <c r="AJ52"/>
      <c r="AK52"/>
    </row>
    <row r="53" spans="1:37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37">
      <c r="A54" s="4" t="s">
        <v>234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37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37">
      <c r="A56" t="s">
        <v>235</v>
      </c>
      <c r="B56" s="13" t="s">
        <v>17</v>
      </c>
      <c r="E56" s="7">
        <f>(E40-E16)*Wrażliwość!$B$5</f>
        <v>0</v>
      </c>
      <c r="F56" s="7">
        <f>(F40-F16)*Wrażliwość!$B$5</f>
        <v>0</v>
      </c>
      <c r="G56" s="7">
        <f>(G40-G16)*Wrażliwość!$B$5</f>
        <v>0</v>
      </c>
      <c r="H56" s="7">
        <f>(H40-H16)*Wrażliwość!$B$5</f>
        <v>0</v>
      </c>
      <c r="I56" s="7">
        <f>(I40-I16)*Wrażliwość!$B$5</f>
        <v>0</v>
      </c>
      <c r="J56" s="7">
        <f>(J40-J16)*Wrażliwość!$B$5</f>
        <v>-640000</v>
      </c>
      <c r="K56" s="7">
        <f>(K40-K16)*Wrażliwość!$B$5</f>
        <v>-640000</v>
      </c>
      <c r="L56" s="7">
        <f>(L40-L16)*Wrażliwość!$B$5</f>
        <v>-640000</v>
      </c>
      <c r="M56" s="7">
        <f>(M40-M16)*Wrażliwość!$B$5</f>
        <v>-640000</v>
      </c>
      <c r="N56" s="7">
        <f>(N40-N16)*Wrażliwość!$B$5</f>
        <v>-640000</v>
      </c>
      <c r="O56" s="7">
        <f>(O40-O16)*Wrażliwość!$B$5</f>
        <v>-640000</v>
      </c>
      <c r="P56" s="7">
        <f>(P40-P16)*Wrażliwość!$B$5</f>
        <v>-640000</v>
      </c>
      <c r="Q56" s="7">
        <f>(Q40-Q16)*Wrażliwość!$B$5</f>
        <v>-640000</v>
      </c>
      <c r="R56" s="7">
        <f>(R40-R16)*Wrażliwość!$B$5</f>
        <v>-640000</v>
      </c>
      <c r="S56" s="7">
        <f>(S40-S16)*Wrażliwość!$B$5</f>
        <v>-640000</v>
      </c>
      <c r="T56" s="7">
        <f>(T40-T16)*Wrażliwość!$B$5</f>
        <v>-640000</v>
      </c>
      <c r="U56" s="7">
        <f>(U40-U16)*Wrażliwość!$B$5</f>
        <v>-640000</v>
      </c>
      <c r="V56" s="7">
        <f>(V40-V16)*Wrażliwość!$B$5</f>
        <v>-640000</v>
      </c>
      <c r="W56" s="7">
        <f>(W40-W16)*Wrażliwość!$B$5</f>
        <v>-640000</v>
      </c>
      <c r="X56" s="7">
        <f>(X40-X16)*Wrażliwość!$B$5</f>
        <v>-640000</v>
      </c>
      <c r="Y56" s="7">
        <f>(Y40-Y16)*Wrażliwość!$B$5</f>
        <v>-640000</v>
      </c>
      <c r="Z56" s="7">
        <f>(Z40-Z16)*Wrażliwość!$B$5</f>
        <v>-640000</v>
      </c>
      <c r="AA56" s="7">
        <f>(AA40-AA16)*Wrażliwość!$B$5</f>
        <v>-640000</v>
      </c>
      <c r="AB56" s="7"/>
    </row>
    <row r="57" spans="1:37">
      <c r="A57" t="s">
        <v>44</v>
      </c>
      <c r="B57" s="13" t="s">
        <v>17</v>
      </c>
      <c r="E57" s="7">
        <f>(E42+E44+E46-E18)*Wrażliwość!$B$4</f>
        <v>0</v>
      </c>
      <c r="F57" s="7">
        <f>(F42+F44+F46-F18)*Wrażliwość!$B$4</f>
        <v>0</v>
      </c>
      <c r="G57" s="7">
        <f>(G42+G44+G46-G18)*Wrażliwość!$B$4</f>
        <v>0</v>
      </c>
      <c r="H57" s="7">
        <f>(H42+H44+H46-H18)*Wrażliwość!$B$4</f>
        <v>0</v>
      </c>
      <c r="I57" s="7">
        <f>(I42+I44+I46-I18)*Wrażliwość!$B$4</f>
        <v>0</v>
      </c>
      <c r="J57" s="7">
        <f>(J42+J44+J46-J18)*Wrażliwość!$B$4</f>
        <v>0</v>
      </c>
      <c r="K57" s="7">
        <f>(K42+K44+K46-K18)*Wrażliwość!$B$4</f>
        <v>-600000</v>
      </c>
      <c r="L57" s="7">
        <f>(L42+L44+L46-L18)*Wrażliwość!$B$4</f>
        <v>0</v>
      </c>
      <c r="M57" s="7">
        <f>(M42+M44+M46-M18)*Wrażliwość!$B$4</f>
        <v>0</v>
      </c>
      <c r="N57" s="7">
        <f>(N42+N44+N46-N18)*Wrażliwość!$B$4</f>
        <v>0</v>
      </c>
      <c r="O57" s="7">
        <f>(O42+O44+O46-O18)*Wrażliwość!$B$4</f>
        <v>0</v>
      </c>
      <c r="P57" s="7">
        <f>(P42+P44+P46-P18)*Wrażliwość!$B$4</f>
        <v>-100000</v>
      </c>
      <c r="Q57" s="7">
        <f>(Q42+Q44+Q46-Q18)*Wrażliwość!$B$4</f>
        <v>0</v>
      </c>
      <c r="R57" s="7">
        <f>(R42+R44+R46-R18)*Wrażliwość!$B$4</f>
        <v>500000</v>
      </c>
      <c r="S57" s="7">
        <f>(S42+S44+S46-S18)*Wrażliwość!$B$4</f>
        <v>0</v>
      </c>
      <c r="T57" s="7">
        <f>(T42+T44+T46-T18)*Wrażliwość!$B$4</f>
        <v>0</v>
      </c>
      <c r="U57" s="7">
        <f>(U42+U44+U46-U18)*Wrażliwość!$B$4</f>
        <v>0</v>
      </c>
      <c r="V57" s="7">
        <f>(V42+V44+V46-V18)*Wrażliwość!$B$4</f>
        <v>0</v>
      </c>
      <c r="W57" s="7">
        <f>(W42+W44+W46-W18)*Wrażliwość!$B$4</f>
        <v>0</v>
      </c>
      <c r="X57" s="7">
        <f>(X42+X44+X46-X18)*Wrażliwość!$B$4</f>
        <v>0</v>
      </c>
      <c r="Y57" s="7">
        <f>(Y42+Y44+Y46-Y18)*Wrażliwość!$B$4</f>
        <v>0</v>
      </c>
      <c r="Z57" s="7">
        <f>(Z42+Z44+Z46-Z18)*Wrażliwość!$B$4</f>
        <v>0</v>
      </c>
      <c r="AA57" s="7">
        <f>(AA42+AA44+AA46-AA18)*Wrażliwość!$B$4</f>
        <v>0</v>
      </c>
      <c r="AB57" s="7"/>
    </row>
    <row r="58" spans="1:37">
      <c r="A58" t="s">
        <v>50</v>
      </c>
      <c r="B58" s="13" t="s">
        <v>17</v>
      </c>
      <c r="E58" s="7">
        <f>(SUM(E48:E52)-SUM(E20:E22))*Wrażliwość!$B$6</f>
        <v>0</v>
      </c>
      <c r="F58" s="7">
        <f>(SUM(F48:F52)-SUM(F20:F22))*Wrażliwość!$B$6</f>
        <v>0</v>
      </c>
      <c r="G58" s="7">
        <f>(SUM(G48:G52)-SUM(G20:G22))*Wrażliwość!$B$6</f>
        <v>0</v>
      </c>
      <c r="H58" s="7">
        <f>(SUM(H48:H52)-SUM(H20:H22))*Wrażliwość!$B$6</f>
        <v>0</v>
      </c>
      <c r="I58" s="7">
        <f>(SUM(I48:I52)-SUM(I20:I22))*Wrażliwość!$B$6</f>
        <v>0</v>
      </c>
      <c r="J58" s="7">
        <f>(SUM(J48:J52)-SUM(J20:J22))*Wrażliwość!$B$6</f>
        <v>72000</v>
      </c>
      <c r="K58" s="7">
        <f>(SUM(K48:K52)-SUM(K20:K22))*Wrażliwość!$B$6</f>
        <v>72000</v>
      </c>
      <c r="L58" s="7">
        <f>(SUM(L48:L52)-SUM(L20:L22))*Wrażliwość!$B$6</f>
        <v>72000</v>
      </c>
      <c r="M58" s="7">
        <f>(SUM(M48:M52)-SUM(M20:M22))*Wrażliwość!$B$6</f>
        <v>72000</v>
      </c>
      <c r="N58" s="7">
        <f>(SUM(N48:N52)-SUM(N20:N22))*Wrażliwość!$B$6</f>
        <v>72000</v>
      </c>
      <c r="O58" s="7">
        <f>(SUM(O48:O52)-SUM(O20:O22))*Wrażliwość!$B$6</f>
        <v>72000</v>
      </c>
      <c r="P58" s="7">
        <f>(SUM(P48:P52)-SUM(P20:P22))*Wrażliwość!$B$6</f>
        <v>72000</v>
      </c>
      <c r="Q58" s="7">
        <f>(SUM(Q48:Q52)-SUM(Q20:Q22))*Wrażliwość!$B$6</f>
        <v>72000</v>
      </c>
      <c r="R58" s="7">
        <f>(SUM(R48:R52)-SUM(R20:R22))*Wrażliwość!$B$6</f>
        <v>72000</v>
      </c>
      <c r="S58" s="7">
        <f>(SUM(S48:S52)-SUM(S20:S22))*Wrażliwość!$B$6</f>
        <v>72000</v>
      </c>
      <c r="T58" s="7">
        <f>(SUM(T48:T52)-SUM(T20:T22))*Wrażliwość!$B$6</f>
        <v>72000</v>
      </c>
      <c r="U58" s="7">
        <f>(SUM(U48:U52)-SUM(U20:U22))*Wrażliwość!$B$6</f>
        <v>72000</v>
      </c>
      <c r="V58" s="7">
        <f>(SUM(V48:V52)-SUM(V20:V22))*Wrażliwość!$B$6</f>
        <v>72000</v>
      </c>
      <c r="W58" s="7">
        <f>(SUM(W48:W52)-SUM(W20:W22))*Wrażliwość!$B$6</f>
        <v>72000</v>
      </c>
      <c r="X58" s="7">
        <f>(SUM(X48:X52)-SUM(X20:X22))*Wrażliwość!$B$6</f>
        <v>72000</v>
      </c>
      <c r="Y58" s="7">
        <f>(SUM(Y48:Y52)-SUM(Y20:Y22))*Wrażliwość!$B$6</f>
        <v>72000</v>
      </c>
      <c r="Z58" s="7">
        <f>(SUM(Z48:Z52)-SUM(Z20:Z22))*Wrażliwość!$B$6</f>
        <v>72000</v>
      </c>
      <c r="AA58" s="7">
        <f>(SUM(AA48:AA52)-SUM(AA20:AA22))*Wrażliwość!$B$6</f>
        <v>72000</v>
      </c>
      <c r="AB58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B124"/>
  <sheetViews>
    <sheetView workbookViewId="0"/>
  </sheetViews>
  <sheetFormatPr defaultRowHeight="14.4"/>
  <cols>
    <col min="1" max="1" width="79" bestFit="1" customWidth="1"/>
    <col min="2" max="2" width="60.109375" bestFit="1" customWidth="1"/>
    <col min="3" max="3" width="17" bestFit="1" customWidth="1"/>
    <col min="4" max="4" width="12.6640625" bestFit="1" customWidth="1"/>
    <col min="5" max="5" width="11.88671875" bestFit="1" customWidth="1"/>
    <col min="6" max="6" width="11.109375" bestFit="1" customWidth="1"/>
  </cols>
  <sheetData>
    <row r="2" spans="1:5">
      <c r="A2" s="12" t="s">
        <v>167</v>
      </c>
      <c r="B2" s="4" t="s">
        <v>168</v>
      </c>
    </row>
    <row r="3" spans="1:5">
      <c r="A3" s="13" t="s">
        <v>169</v>
      </c>
      <c r="B3" s="14" t="s">
        <v>170</v>
      </c>
    </row>
    <row r="4" spans="1:5">
      <c r="A4" s="13" t="s">
        <v>171</v>
      </c>
      <c r="B4" s="14" t="s">
        <v>170</v>
      </c>
    </row>
    <row r="5" spans="1:5">
      <c r="A5" s="13" t="s">
        <v>172</v>
      </c>
      <c r="B5" s="14" t="s">
        <v>173</v>
      </c>
    </row>
    <row r="6" spans="1:5">
      <c r="A6" s="13" t="s">
        <v>174</v>
      </c>
      <c r="B6" s="14" t="s">
        <v>175</v>
      </c>
    </row>
    <row r="7" spans="1:5">
      <c r="A7" s="13" t="s">
        <v>176</v>
      </c>
      <c r="B7" s="14" t="s">
        <v>177</v>
      </c>
    </row>
    <row r="8" spans="1:5">
      <c r="A8" s="13" t="s">
        <v>178</v>
      </c>
      <c r="B8" s="14" t="s">
        <v>179</v>
      </c>
    </row>
    <row r="10" spans="1:5">
      <c r="A10" s="12" t="s">
        <v>167</v>
      </c>
      <c r="B10" s="12" t="s">
        <v>15</v>
      </c>
      <c r="C10" s="12" t="s">
        <v>180</v>
      </c>
      <c r="D10" s="12" t="s">
        <v>181</v>
      </c>
      <c r="E10" s="12" t="s">
        <v>182</v>
      </c>
    </row>
    <row r="11" spans="1:5">
      <c r="A11" s="13" t="s">
        <v>169</v>
      </c>
      <c r="B11" s="15" t="s">
        <v>183</v>
      </c>
      <c r="C11" s="13">
        <v>1.1000000000000001</v>
      </c>
      <c r="D11" s="13">
        <v>8</v>
      </c>
      <c r="E11" s="13">
        <v>0.36</v>
      </c>
    </row>
    <row r="12" spans="1:5">
      <c r="A12" s="13" t="s">
        <v>171</v>
      </c>
      <c r="B12" s="13" t="s">
        <v>184</v>
      </c>
      <c r="C12" s="13">
        <v>1.1000000000000001</v>
      </c>
      <c r="D12" s="13">
        <v>7</v>
      </c>
      <c r="E12" s="13">
        <v>0.15</v>
      </c>
    </row>
    <row r="13" spans="1:5">
      <c r="A13" s="13" t="s">
        <v>172</v>
      </c>
      <c r="B13" s="13" t="s">
        <v>185</v>
      </c>
      <c r="C13" s="13">
        <v>0.66</v>
      </c>
      <c r="D13" s="13">
        <v>5</v>
      </c>
      <c r="E13" s="13">
        <v>0.1</v>
      </c>
    </row>
    <row r="14" spans="1:5">
      <c r="A14" s="13" t="s">
        <v>174</v>
      </c>
      <c r="B14" s="13" t="s">
        <v>186</v>
      </c>
      <c r="C14" s="13">
        <v>0.46</v>
      </c>
      <c r="D14" s="13">
        <v>3.5</v>
      </c>
      <c r="E14" s="13">
        <v>0.02</v>
      </c>
    </row>
    <row r="15" spans="1:5">
      <c r="A15" s="13" t="s">
        <v>176</v>
      </c>
      <c r="B15" s="13" t="s">
        <v>187</v>
      </c>
      <c r="C15" s="13">
        <v>0.46</v>
      </c>
      <c r="D15" s="13">
        <v>2</v>
      </c>
      <c r="E15" s="13">
        <v>0.02</v>
      </c>
    </row>
    <row r="16" spans="1:5">
      <c r="A16" s="13" t="s">
        <v>178</v>
      </c>
      <c r="B16" s="13" t="s">
        <v>188</v>
      </c>
      <c r="C16" s="13">
        <v>0.13</v>
      </c>
      <c r="D16" s="13">
        <v>0.4</v>
      </c>
      <c r="E16" s="13">
        <v>0.01</v>
      </c>
    </row>
    <row r="17" spans="1:27">
      <c r="A17" s="16" t="s">
        <v>189</v>
      </c>
      <c r="B17" s="13"/>
      <c r="C17" s="53">
        <v>0.13</v>
      </c>
      <c r="D17" s="53">
        <v>0.4</v>
      </c>
      <c r="E17" s="53">
        <v>0.01</v>
      </c>
    </row>
    <row r="19" spans="1:27" ht="15" customHeight="1">
      <c r="A19" s="4" t="s">
        <v>407</v>
      </c>
    </row>
    <row r="20" spans="1:27" ht="15" customHeight="1">
      <c r="A20" s="54" t="s">
        <v>403</v>
      </c>
      <c r="B20" s="54"/>
      <c r="C20" s="54"/>
      <c r="D20" s="54"/>
      <c r="E20" s="54"/>
    </row>
    <row r="21" spans="1:27" ht="15" customHeight="1">
      <c r="A21" s="54"/>
      <c r="B21" s="54"/>
      <c r="C21" s="54"/>
      <c r="D21" s="54"/>
      <c r="E21" s="54"/>
    </row>
    <row r="22" spans="1:27">
      <c r="A22" t="s">
        <v>404</v>
      </c>
      <c r="B22" s="62" t="s">
        <v>15</v>
      </c>
      <c r="C22" s="62">
        <v>2024</v>
      </c>
      <c r="D22" s="62">
        <v>2025</v>
      </c>
      <c r="E22" s="62">
        <v>2026</v>
      </c>
      <c r="F22" s="62">
        <v>2027</v>
      </c>
      <c r="G22" s="62">
        <v>2028</v>
      </c>
      <c r="H22" s="62">
        <v>2029</v>
      </c>
      <c r="I22" s="62">
        <v>2030</v>
      </c>
      <c r="J22" s="62">
        <v>2031</v>
      </c>
      <c r="K22" s="62">
        <v>2032</v>
      </c>
      <c r="L22" s="62">
        <v>2033</v>
      </c>
      <c r="M22" s="62">
        <v>2034</v>
      </c>
      <c r="N22" s="62">
        <v>2035</v>
      </c>
      <c r="O22" s="62">
        <v>2036</v>
      </c>
      <c r="P22" s="62">
        <v>2037</v>
      </c>
      <c r="Q22" s="62">
        <v>2038</v>
      </c>
      <c r="R22" s="62">
        <v>2039</v>
      </c>
      <c r="S22" s="62">
        <v>2040</v>
      </c>
      <c r="T22" s="62">
        <v>2041</v>
      </c>
      <c r="U22" s="62">
        <v>2042</v>
      </c>
      <c r="V22" s="62">
        <v>2043</v>
      </c>
      <c r="W22" s="62">
        <v>2044</v>
      </c>
      <c r="X22" s="62">
        <v>2045</v>
      </c>
      <c r="Y22" s="62">
        <v>2046</v>
      </c>
      <c r="Z22" s="62">
        <v>2047</v>
      </c>
      <c r="AA22" s="62">
        <v>2048</v>
      </c>
    </row>
    <row r="23" spans="1:27">
      <c r="A23" t="s">
        <v>191</v>
      </c>
      <c r="B23" s="63" t="s">
        <v>190</v>
      </c>
      <c r="C23" s="64">
        <v>651.34425249281708</v>
      </c>
      <c r="D23" s="65">
        <v>645.56535421765795</v>
      </c>
      <c r="E23" s="65">
        <v>632.26168994053501</v>
      </c>
      <c r="F23" s="65">
        <v>618.95802566341206</v>
      </c>
      <c r="G23" s="65">
        <v>605.65436138628911</v>
      </c>
      <c r="H23" s="65">
        <v>592.35069710916616</v>
      </c>
      <c r="I23" s="65">
        <v>579.0470328320431</v>
      </c>
      <c r="J23" s="65">
        <v>552.51698383609323</v>
      </c>
      <c r="K23" s="65">
        <v>525.98693484014336</v>
      </c>
      <c r="L23" s="65">
        <v>499.45688584419349</v>
      </c>
      <c r="M23" s="65">
        <v>472.92683684824362</v>
      </c>
      <c r="N23" s="65">
        <v>446.39678785229381</v>
      </c>
      <c r="O23" s="65">
        <v>431.77946014880877</v>
      </c>
      <c r="P23" s="65">
        <v>417.16213244532372</v>
      </c>
      <c r="Q23" s="65">
        <v>402.54480474183867</v>
      </c>
      <c r="R23" s="65">
        <v>387.92747703835363</v>
      </c>
      <c r="S23" s="65">
        <v>373.31014933486864</v>
      </c>
      <c r="T23" s="65">
        <v>373.31014933486864</v>
      </c>
      <c r="U23" s="65">
        <v>373.31014933486864</v>
      </c>
      <c r="V23" s="65">
        <v>373.31014933486864</v>
      </c>
      <c r="W23" s="65">
        <v>373.31014933486864</v>
      </c>
      <c r="X23" s="65">
        <v>373.31014933486864</v>
      </c>
      <c r="Y23" s="65">
        <v>373.31014933486864</v>
      </c>
      <c r="Z23" s="65">
        <v>373.31014933486864</v>
      </c>
      <c r="AA23" s="65">
        <v>373.31014933486864</v>
      </c>
    </row>
    <row r="24" spans="1:27" ht="15" customHeight="1">
      <c r="A24" s="54"/>
      <c r="B24" s="54"/>
      <c r="C24" s="54"/>
      <c r="D24" s="54"/>
      <c r="E24" s="54"/>
    </row>
    <row r="25" spans="1:27" ht="15" customHeight="1">
      <c r="A25" s="55" t="s">
        <v>406</v>
      </c>
    </row>
    <row r="26" spans="1:27">
      <c r="A26" s="54" t="s">
        <v>403</v>
      </c>
    </row>
    <row r="27" spans="1:27">
      <c r="A27" s="17"/>
    </row>
    <row r="28" spans="1:27">
      <c r="A28" s="4" t="s">
        <v>192</v>
      </c>
    </row>
    <row r="29" spans="1:27">
      <c r="A29" t="s">
        <v>193</v>
      </c>
      <c r="C29">
        <v>36</v>
      </c>
      <c r="D29" t="s">
        <v>194</v>
      </c>
    </row>
    <row r="30" spans="1:27">
      <c r="A30" t="s">
        <v>195</v>
      </c>
      <c r="B30" s="18" t="s">
        <v>196</v>
      </c>
      <c r="C30">
        <v>3.6</v>
      </c>
      <c r="D30" t="s">
        <v>197</v>
      </c>
    </row>
    <row r="31" spans="1:27">
      <c r="A31" t="s">
        <v>193</v>
      </c>
      <c r="C31" s="19">
        <f>C29/C30</f>
        <v>10</v>
      </c>
      <c r="D31" t="s">
        <v>198</v>
      </c>
    </row>
    <row r="33" spans="1:5">
      <c r="A33" s="4" t="s">
        <v>199</v>
      </c>
    </row>
    <row r="34" spans="1:5">
      <c r="A34" t="s">
        <v>200</v>
      </c>
      <c r="C34">
        <v>33</v>
      </c>
      <c r="D34" t="s">
        <v>201</v>
      </c>
    </row>
    <row r="35" spans="1:5">
      <c r="A35" t="s">
        <v>195</v>
      </c>
      <c r="B35" s="18" t="s">
        <v>196</v>
      </c>
      <c r="C35">
        <v>3.6</v>
      </c>
      <c r="D35" t="s">
        <v>197</v>
      </c>
    </row>
    <row r="36" spans="1:5">
      <c r="A36" t="s">
        <v>200</v>
      </c>
      <c r="C36" s="19">
        <f>C34/C35</f>
        <v>9.1666666666666661</v>
      </c>
      <c r="D36" t="s">
        <v>202</v>
      </c>
    </row>
    <row r="38" spans="1:5" ht="15" customHeight="1">
      <c r="A38" s="55" t="s">
        <v>405</v>
      </c>
    </row>
    <row r="39" spans="1:5">
      <c r="A39" s="116" t="s">
        <v>403</v>
      </c>
      <c r="B39" s="116"/>
      <c r="C39" s="116"/>
      <c r="D39" s="116"/>
      <c r="E39" s="116"/>
    </row>
    <row r="41" spans="1:5">
      <c r="A41" s="4" t="s">
        <v>203</v>
      </c>
    </row>
    <row r="42" spans="1:5">
      <c r="A42" t="s">
        <v>204</v>
      </c>
      <c r="B42">
        <v>3.169</v>
      </c>
      <c r="C42" t="s">
        <v>205</v>
      </c>
    </row>
    <row r="43" spans="1:5">
      <c r="A43" t="s">
        <v>408</v>
      </c>
      <c r="B43">
        <v>3.024</v>
      </c>
      <c r="C43" t="s">
        <v>205</v>
      </c>
    </row>
    <row r="45" spans="1:5">
      <c r="A45" s="14" t="s">
        <v>409</v>
      </c>
      <c r="B45" s="14"/>
      <c r="C45" s="14"/>
      <c r="D45" s="14"/>
      <c r="E45" s="14"/>
    </row>
    <row r="46" spans="1:5">
      <c r="A46" s="116" t="s">
        <v>403</v>
      </c>
      <c r="B46" s="116"/>
      <c r="C46" s="116"/>
      <c r="D46" s="116"/>
      <c r="E46" s="116"/>
    </row>
    <row r="47" spans="1:5">
      <c r="A47" s="20" t="s">
        <v>206</v>
      </c>
      <c r="B47" s="65">
        <v>0.84</v>
      </c>
      <c r="C47" t="s">
        <v>207</v>
      </c>
    </row>
    <row r="48" spans="1:5">
      <c r="A48" s="20" t="s">
        <v>410</v>
      </c>
      <c r="B48" s="65">
        <v>0.52</v>
      </c>
      <c r="C48" t="s">
        <v>207</v>
      </c>
    </row>
    <row r="50" spans="1:3">
      <c r="A50" s="4" t="s">
        <v>208</v>
      </c>
    </row>
    <row r="51" spans="1:3">
      <c r="A51" s="4"/>
    </row>
    <row r="52" spans="1:3">
      <c r="A52" s="4" t="s">
        <v>192</v>
      </c>
    </row>
    <row r="53" spans="1:3">
      <c r="A53" t="s">
        <v>209</v>
      </c>
      <c r="B53" s="69">
        <f>$B$42*$B$47</f>
        <v>2.6619600000000001</v>
      </c>
    </row>
    <row r="54" spans="1:3">
      <c r="B54" s="69"/>
    </row>
    <row r="55" spans="1:3">
      <c r="A55" s="4" t="s">
        <v>199</v>
      </c>
      <c r="B55" s="70"/>
    </row>
    <row r="56" spans="1:3">
      <c r="A56" t="s">
        <v>210</v>
      </c>
      <c r="B56" s="65">
        <v>1.9</v>
      </c>
    </row>
    <row r="57" spans="1:3">
      <c r="B57" s="69"/>
    </row>
    <row r="58" spans="1:3">
      <c r="A58" s="4" t="s">
        <v>411</v>
      </c>
      <c r="B58" s="69"/>
    </row>
    <row r="59" spans="1:3">
      <c r="A59" t="s">
        <v>209</v>
      </c>
      <c r="B59" s="69">
        <f>$B$43*$B$48</f>
        <v>1.5724800000000001</v>
      </c>
    </row>
    <row r="62" spans="1:3">
      <c r="A62" s="4" t="s">
        <v>192</v>
      </c>
      <c r="B62" s="1" t="str">
        <f>Założenia!D34</f>
        <v>Typ 1</v>
      </c>
    </row>
    <row r="63" spans="1:3">
      <c r="A63" t="s">
        <v>211</v>
      </c>
      <c r="B63" t="str">
        <f>Założenia!D171</f>
        <v>EURO II</v>
      </c>
    </row>
    <row r="64" spans="1:3" ht="15.6">
      <c r="A64" t="s">
        <v>212</v>
      </c>
      <c r="B64">
        <f>Założenia!D118*100</f>
        <v>39.5</v>
      </c>
      <c r="C64" t="s">
        <v>213</v>
      </c>
    </row>
    <row r="65" spans="1:6">
      <c r="A65" t="s">
        <v>214</v>
      </c>
      <c r="B65">
        <f>B64*C31/100</f>
        <v>3.95</v>
      </c>
      <c r="C65" t="s">
        <v>215</v>
      </c>
    </row>
    <row r="67" spans="1:6">
      <c r="B67" s="21" t="s">
        <v>216</v>
      </c>
      <c r="C67" s="96" t="s">
        <v>217</v>
      </c>
      <c r="D67" s="97"/>
      <c r="E67" s="97"/>
      <c r="F67" s="98"/>
    </row>
    <row r="68" spans="1:6">
      <c r="B68" s="22" t="s">
        <v>218</v>
      </c>
      <c r="C68" s="22" t="s">
        <v>219</v>
      </c>
      <c r="D68" s="22" t="s">
        <v>220</v>
      </c>
      <c r="E68" s="22" t="s">
        <v>221</v>
      </c>
      <c r="F68" s="22" t="s">
        <v>222</v>
      </c>
    </row>
    <row r="69" spans="1:6">
      <c r="B69" s="23">
        <f>$B$64/100*$B$53*1000</f>
        <v>1051.4742000000001</v>
      </c>
      <c r="C69" s="24">
        <f>VLOOKUP($B$63,$A$10:$E$17,3,FALSE)*$B$65</f>
        <v>4.3450000000000006</v>
      </c>
      <c r="D69" s="24">
        <f>VLOOKUP($B$63,$A$10:$E$17,4,FALSE)*$B$65</f>
        <v>27.650000000000002</v>
      </c>
      <c r="E69" s="24">
        <f>VLOOKUP($B$63,$A$10:$E$17,5,FALSE)*$B$65</f>
        <v>0.59250000000000003</v>
      </c>
      <c r="F69" s="24">
        <v>0</v>
      </c>
    </row>
    <row r="70" spans="1:6">
      <c r="B70" s="40"/>
      <c r="C70" s="41"/>
      <c r="D70" s="41"/>
      <c r="E70" s="41"/>
      <c r="F70" s="41"/>
    </row>
    <row r="71" spans="1:6">
      <c r="A71" s="4" t="s">
        <v>192</v>
      </c>
      <c r="B71" s="1" t="str">
        <f>Założenia!E34</f>
        <v>Typ 2</v>
      </c>
    </row>
    <row r="72" spans="1:6">
      <c r="A72" t="s">
        <v>211</v>
      </c>
      <c r="B72" t="str">
        <f>Założenia!E171</f>
        <v>EURO III</v>
      </c>
    </row>
    <row r="73" spans="1:6" ht="15.6">
      <c r="A73" t="s">
        <v>212</v>
      </c>
      <c r="B73" s="7">
        <f>Założenia!E118*100</f>
        <v>39.5</v>
      </c>
      <c r="C73" t="s">
        <v>213</v>
      </c>
    </row>
    <row r="74" spans="1:6">
      <c r="A74" t="s">
        <v>214</v>
      </c>
      <c r="B74">
        <f>B73*C31/100</f>
        <v>3.95</v>
      </c>
      <c r="C74" t="s">
        <v>215</v>
      </c>
    </row>
    <row r="76" spans="1:6">
      <c r="B76" s="21" t="s">
        <v>216</v>
      </c>
      <c r="C76" s="96" t="s">
        <v>217</v>
      </c>
      <c r="D76" s="97"/>
      <c r="E76" s="97"/>
      <c r="F76" s="98"/>
    </row>
    <row r="77" spans="1:6">
      <c r="B77" s="22" t="s">
        <v>218</v>
      </c>
      <c r="C77" s="22" t="s">
        <v>219</v>
      </c>
      <c r="D77" s="22" t="s">
        <v>220</v>
      </c>
      <c r="E77" s="22" t="s">
        <v>221</v>
      </c>
      <c r="F77" s="22" t="s">
        <v>222</v>
      </c>
    </row>
    <row r="78" spans="1:6">
      <c r="B78" s="23">
        <f>$B$73/100*$B$53*1000</f>
        <v>1051.4742000000001</v>
      </c>
      <c r="C78" s="24">
        <f>VLOOKUP($B$72,$A$10:$E$17,3,FALSE)*$B$74</f>
        <v>2.6070000000000002</v>
      </c>
      <c r="D78" s="24">
        <f>VLOOKUP($B$72,$A$10:$E$17,4,FALSE)*$B$74</f>
        <v>19.75</v>
      </c>
      <c r="E78" s="24">
        <f>VLOOKUP($B$72,$A$10:$E$17,5,FALSE)*$B$74</f>
        <v>0.39500000000000002</v>
      </c>
      <c r="F78" s="24">
        <v>0</v>
      </c>
    </row>
    <row r="79" spans="1:6">
      <c r="B79" s="40"/>
      <c r="C79" s="41"/>
      <c r="D79" s="41"/>
      <c r="E79" s="41"/>
      <c r="F79" s="41"/>
    </row>
    <row r="80" spans="1:6">
      <c r="A80" s="4" t="s">
        <v>192</v>
      </c>
      <c r="B80" s="1" t="str">
        <f>Założenia!F34</f>
        <v>Typ 3</v>
      </c>
    </row>
    <row r="81" spans="1:28">
      <c r="A81" t="s">
        <v>211</v>
      </c>
      <c r="B81" t="str">
        <f>Założenia!F171</f>
        <v>EURO IV</v>
      </c>
    </row>
    <row r="82" spans="1:28" ht="15.6">
      <c r="A82" t="s">
        <v>212</v>
      </c>
      <c r="B82">
        <f>Założenia!F118*100</f>
        <v>39.5</v>
      </c>
      <c r="C82" t="s">
        <v>213</v>
      </c>
    </row>
    <row r="83" spans="1:28">
      <c r="A83" t="s">
        <v>214</v>
      </c>
      <c r="B83">
        <f>B82*C31/100</f>
        <v>3.95</v>
      </c>
      <c r="C83" t="s">
        <v>215</v>
      </c>
    </row>
    <row r="85" spans="1:28">
      <c r="B85" s="21" t="s">
        <v>216</v>
      </c>
      <c r="C85" s="96" t="s">
        <v>217</v>
      </c>
      <c r="D85" s="97"/>
      <c r="E85" s="97"/>
      <c r="F85" s="98"/>
    </row>
    <row r="86" spans="1:28">
      <c r="B86" s="22" t="s">
        <v>218</v>
      </c>
      <c r="C86" s="22" t="s">
        <v>219</v>
      </c>
      <c r="D86" s="22" t="s">
        <v>220</v>
      </c>
      <c r="E86" s="22" t="s">
        <v>221</v>
      </c>
      <c r="F86" s="22" t="s">
        <v>222</v>
      </c>
    </row>
    <row r="87" spans="1:28">
      <c r="B87" s="23">
        <f>$B$82/100*$B$53*1000</f>
        <v>1051.4742000000001</v>
      </c>
      <c r="C87" s="24">
        <f>VLOOKUP($B$81,$A$10:$E$17,3,FALSE)*$B$83</f>
        <v>1.8170000000000002</v>
      </c>
      <c r="D87" s="24">
        <f>VLOOKUP($B$81,$A$10:$E$17,4,FALSE)*$B$83</f>
        <v>13.825000000000001</v>
      </c>
      <c r="E87" s="24">
        <f>VLOOKUP($B$81,$A$10:$E$17,5,FALSE)*$B$83</f>
        <v>7.9000000000000001E-2</v>
      </c>
      <c r="F87" s="24">
        <v>0</v>
      </c>
    </row>
    <row r="89" spans="1:28">
      <c r="B89" s="25"/>
      <c r="C89" s="19"/>
      <c r="D89" s="19"/>
      <c r="E89" s="19"/>
    </row>
    <row r="90" spans="1:28">
      <c r="A90" s="4" t="s">
        <v>223</v>
      </c>
      <c r="B90" s="1" t="str">
        <f>Założenia!D127</f>
        <v>Typ A</v>
      </c>
    </row>
    <row r="92" spans="1:28">
      <c r="A92" t="s">
        <v>224</v>
      </c>
      <c r="B92">
        <f>Założenia!D130*100</f>
        <v>120</v>
      </c>
      <c r="C92" t="s">
        <v>225</v>
      </c>
    </row>
    <row r="93" spans="1:28">
      <c r="A93" t="s">
        <v>226</v>
      </c>
      <c r="B93">
        <f>B92/100</f>
        <v>1.2</v>
      </c>
      <c r="C93" t="s">
        <v>215</v>
      </c>
    </row>
    <row r="95" spans="1:28">
      <c r="B95" s="34" t="s">
        <v>404</v>
      </c>
      <c r="C95" s="56" t="s">
        <v>15</v>
      </c>
      <c r="D95" s="66">
        <v>2024</v>
      </c>
      <c r="E95" s="67">
        <v>2025</v>
      </c>
      <c r="F95" s="67">
        <v>2026</v>
      </c>
      <c r="G95" s="67">
        <v>2027</v>
      </c>
      <c r="H95" s="67">
        <v>2028</v>
      </c>
      <c r="I95" s="67">
        <v>2029</v>
      </c>
      <c r="J95" s="67">
        <v>2030</v>
      </c>
      <c r="K95" s="67">
        <v>2031</v>
      </c>
      <c r="L95" s="67">
        <v>2032</v>
      </c>
      <c r="M95" s="67">
        <v>2033</v>
      </c>
      <c r="N95" s="67">
        <v>2034</v>
      </c>
      <c r="O95" s="67">
        <v>2035</v>
      </c>
      <c r="P95" s="67">
        <v>2036</v>
      </c>
      <c r="Q95" s="67">
        <v>2037</v>
      </c>
      <c r="R95" s="67">
        <v>2038</v>
      </c>
      <c r="S95" s="67">
        <v>2039</v>
      </c>
      <c r="T95" s="67">
        <v>2040</v>
      </c>
      <c r="U95" s="67">
        <v>2041</v>
      </c>
      <c r="V95" s="67">
        <v>2042</v>
      </c>
      <c r="W95" s="67">
        <v>2043</v>
      </c>
      <c r="X95" s="67">
        <v>2044</v>
      </c>
      <c r="Y95" s="67">
        <v>2045</v>
      </c>
      <c r="Z95" s="67">
        <v>2046</v>
      </c>
      <c r="AA95" s="67">
        <v>2047</v>
      </c>
      <c r="AB95" s="67">
        <v>2048</v>
      </c>
    </row>
    <row r="96" spans="1:28">
      <c r="B96" s="21" t="s">
        <v>216</v>
      </c>
      <c r="C96" s="22" t="s">
        <v>218</v>
      </c>
      <c r="D96" s="68">
        <f t="shared" ref="D96:AB96" si="0">$B$93*C$23</f>
        <v>781.61310299138052</v>
      </c>
      <c r="E96" s="68">
        <f t="shared" si="0"/>
        <v>774.6784250611895</v>
      </c>
      <c r="F96" s="68">
        <f t="shared" si="0"/>
        <v>758.71402792864194</v>
      </c>
      <c r="G96" s="68">
        <f t="shared" si="0"/>
        <v>742.74963079609449</v>
      </c>
      <c r="H96" s="68">
        <f t="shared" si="0"/>
        <v>726.78523366354693</v>
      </c>
      <c r="I96" s="68">
        <f t="shared" si="0"/>
        <v>710.82083653099937</v>
      </c>
      <c r="J96" s="68">
        <f t="shared" si="0"/>
        <v>694.8564393984517</v>
      </c>
      <c r="K96" s="68">
        <f t="shared" si="0"/>
        <v>663.02038060331188</v>
      </c>
      <c r="L96" s="68">
        <f t="shared" si="0"/>
        <v>631.18432180817206</v>
      </c>
      <c r="M96" s="68">
        <f t="shared" si="0"/>
        <v>599.34826301303212</v>
      </c>
      <c r="N96" s="68">
        <f t="shared" si="0"/>
        <v>567.5122042178923</v>
      </c>
      <c r="O96" s="68">
        <f t="shared" si="0"/>
        <v>535.6761454227526</v>
      </c>
      <c r="P96" s="68">
        <f t="shared" si="0"/>
        <v>518.13535217857054</v>
      </c>
      <c r="Q96" s="68">
        <f t="shared" si="0"/>
        <v>500.59455893438843</v>
      </c>
      <c r="R96" s="68">
        <f t="shared" si="0"/>
        <v>483.05376569020638</v>
      </c>
      <c r="S96" s="68">
        <f t="shared" si="0"/>
        <v>465.51297244602432</v>
      </c>
      <c r="T96" s="68">
        <f t="shared" si="0"/>
        <v>447.97217920184238</v>
      </c>
      <c r="U96" s="68">
        <f t="shared" si="0"/>
        <v>447.97217920184238</v>
      </c>
      <c r="V96" s="68">
        <f t="shared" si="0"/>
        <v>447.97217920184238</v>
      </c>
      <c r="W96" s="68">
        <f t="shared" si="0"/>
        <v>447.97217920184238</v>
      </c>
      <c r="X96" s="68">
        <f t="shared" si="0"/>
        <v>447.97217920184238</v>
      </c>
      <c r="Y96" s="68">
        <f t="shared" si="0"/>
        <v>447.97217920184238</v>
      </c>
      <c r="Z96" s="68">
        <f t="shared" si="0"/>
        <v>447.97217920184238</v>
      </c>
      <c r="AA96" s="68">
        <f t="shared" si="0"/>
        <v>447.97217920184238</v>
      </c>
      <c r="AB96" s="68">
        <f t="shared" si="0"/>
        <v>447.97217920184238</v>
      </c>
    </row>
    <row r="97" spans="1:28">
      <c r="B97" s="117" t="s">
        <v>217</v>
      </c>
      <c r="C97" s="26" t="s">
        <v>227</v>
      </c>
      <c r="D97" s="120">
        <v>0</v>
      </c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2"/>
    </row>
    <row r="98" spans="1:28">
      <c r="B98" s="118"/>
      <c r="C98" s="26" t="s">
        <v>220</v>
      </c>
      <c r="D98" s="120">
        <v>0</v>
      </c>
      <c r="E98" s="121">
        <v>0</v>
      </c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2"/>
    </row>
    <row r="99" spans="1:28">
      <c r="B99" s="118"/>
      <c r="C99" s="26" t="s">
        <v>221</v>
      </c>
      <c r="D99" s="120">
        <v>0</v>
      </c>
      <c r="E99" s="121">
        <v>0</v>
      </c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2"/>
    </row>
    <row r="100" spans="1:28">
      <c r="B100" s="119"/>
      <c r="C100" s="22" t="s">
        <v>222</v>
      </c>
      <c r="D100" s="120">
        <v>0</v>
      </c>
      <c r="E100" s="121">
        <v>0</v>
      </c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2"/>
    </row>
    <row r="102" spans="1:28">
      <c r="A102" s="4" t="s">
        <v>223</v>
      </c>
      <c r="B102" s="1" t="str">
        <f>Założenia!E127</f>
        <v>Typ B</v>
      </c>
    </row>
    <row r="104" spans="1:28">
      <c r="A104" t="s">
        <v>224</v>
      </c>
      <c r="B104">
        <f>Założenia!E130*100</f>
        <v>130</v>
      </c>
      <c r="C104" t="s">
        <v>225</v>
      </c>
    </row>
    <row r="105" spans="1:28">
      <c r="A105" t="s">
        <v>226</v>
      </c>
      <c r="B105">
        <f>B104/100</f>
        <v>1.3</v>
      </c>
      <c r="C105" t="s">
        <v>215</v>
      </c>
    </row>
    <row r="107" spans="1:28">
      <c r="B107" s="34" t="s">
        <v>404</v>
      </c>
      <c r="C107" s="56" t="s">
        <v>15</v>
      </c>
      <c r="D107" s="66">
        <v>2024</v>
      </c>
      <c r="E107" s="67">
        <v>2025</v>
      </c>
      <c r="F107" s="67">
        <v>2026</v>
      </c>
      <c r="G107" s="67">
        <v>2027</v>
      </c>
      <c r="H107" s="67">
        <v>2028</v>
      </c>
      <c r="I107" s="67">
        <v>2029</v>
      </c>
      <c r="J107" s="67">
        <v>2030</v>
      </c>
      <c r="K107" s="67">
        <v>2031</v>
      </c>
      <c r="L107" s="67">
        <v>2032</v>
      </c>
      <c r="M107" s="67">
        <v>2033</v>
      </c>
      <c r="N107" s="67">
        <v>2034</v>
      </c>
      <c r="O107" s="67">
        <v>2035</v>
      </c>
      <c r="P107" s="67">
        <v>2036</v>
      </c>
      <c r="Q107" s="67">
        <v>2037</v>
      </c>
      <c r="R107" s="67">
        <v>2038</v>
      </c>
      <c r="S107" s="67">
        <v>2039</v>
      </c>
      <c r="T107" s="67">
        <v>2040</v>
      </c>
      <c r="U107" s="67">
        <v>2041</v>
      </c>
      <c r="V107" s="67">
        <v>2042</v>
      </c>
      <c r="W107" s="67">
        <v>2043</v>
      </c>
      <c r="X107" s="67">
        <v>2044</v>
      </c>
      <c r="Y107" s="67">
        <v>2045</v>
      </c>
      <c r="Z107" s="67">
        <v>2046</v>
      </c>
      <c r="AA107" s="67">
        <v>2047</v>
      </c>
      <c r="AB107" s="67">
        <v>2048</v>
      </c>
    </row>
    <row r="108" spans="1:28">
      <c r="B108" s="21" t="s">
        <v>216</v>
      </c>
      <c r="C108" s="22" t="s">
        <v>218</v>
      </c>
      <c r="D108" s="68">
        <f t="shared" ref="D108:AB108" si="1">$B$105*C$23</f>
        <v>846.74752824066218</v>
      </c>
      <c r="E108" s="68">
        <f t="shared" si="1"/>
        <v>839.23496048295533</v>
      </c>
      <c r="F108" s="68">
        <f t="shared" si="1"/>
        <v>821.94019692269558</v>
      </c>
      <c r="G108" s="68">
        <f t="shared" si="1"/>
        <v>804.64543336243571</v>
      </c>
      <c r="H108" s="68">
        <f t="shared" si="1"/>
        <v>787.35066980217584</v>
      </c>
      <c r="I108" s="68">
        <f t="shared" si="1"/>
        <v>770.05590624191609</v>
      </c>
      <c r="J108" s="68">
        <f t="shared" si="1"/>
        <v>752.76114268165611</v>
      </c>
      <c r="K108" s="68">
        <f t="shared" si="1"/>
        <v>718.2720789869212</v>
      </c>
      <c r="L108" s="68">
        <f t="shared" si="1"/>
        <v>683.78301529218641</v>
      </c>
      <c r="M108" s="68">
        <f t="shared" si="1"/>
        <v>649.29395159745161</v>
      </c>
      <c r="N108" s="68">
        <f t="shared" si="1"/>
        <v>614.8048879027167</v>
      </c>
      <c r="O108" s="68">
        <f t="shared" si="1"/>
        <v>580.31582420798202</v>
      </c>
      <c r="P108" s="68">
        <f t="shared" si="1"/>
        <v>561.31329819345137</v>
      </c>
      <c r="Q108" s="68">
        <f t="shared" si="1"/>
        <v>542.31077217892084</v>
      </c>
      <c r="R108" s="68">
        <f t="shared" si="1"/>
        <v>523.30824616439031</v>
      </c>
      <c r="S108" s="68">
        <f t="shared" si="1"/>
        <v>504.30572014985972</v>
      </c>
      <c r="T108" s="68">
        <f t="shared" si="1"/>
        <v>485.30319413532925</v>
      </c>
      <c r="U108" s="68">
        <f t="shared" si="1"/>
        <v>485.30319413532925</v>
      </c>
      <c r="V108" s="68">
        <f t="shared" si="1"/>
        <v>485.30319413532925</v>
      </c>
      <c r="W108" s="68">
        <f t="shared" si="1"/>
        <v>485.30319413532925</v>
      </c>
      <c r="X108" s="68">
        <f t="shared" si="1"/>
        <v>485.30319413532925</v>
      </c>
      <c r="Y108" s="68">
        <f t="shared" si="1"/>
        <v>485.30319413532925</v>
      </c>
      <c r="Z108" s="68">
        <f t="shared" si="1"/>
        <v>485.30319413532925</v>
      </c>
      <c r="AA108" s="68">
        <f t="shared" si="1"/>
        <v>485.30319413532925</v>
      </c>
      <c r="AB108" s="68">
        <f t="shared" si="1"/>
        <v>485.30319413532925</v>
      </c>
    </row>
    <row r="109" spans="1:28">
      <c r="B109" s="117" t="s">
        <v>217</v>
      </c>
      <c r="C109" s="26" t="s">
        <v>227</v>
      </c>
      <c r="D109" s="120">
        <v>0</v>
      </c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2"/>
    </row>
    <row r="110" spans="1:28">
      <c r="B110" s="118"/>
      <c r="C110" s="26" t="s">
        <v>220</v>
      </c>
      <c r="D110" s="120">
        <v>0</v>
      </c>
      <c r="E110" s="121">
        <v>0</v>
      </c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2"/>
    </row>
    <row r="111" spans="1:28">
      <c r="B111" s="118"/>
      <c r="C111" s="26" t="s">
        <v>221</v>
      </c>
      <c r="D111" s="120">
        <v>0</v>
      </c>
      <c r="E111" s="121">
        <v>0</v>
      </c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2"/>
    </row>
    <row r="112" spans="1:28">
      <c r="B112" s="119"/>
      <c r="C112" s="22" t="s">
        <v>222</v>
      </c>
      <c r="D112" s="120">
        <v>0</v>
      </c>
      <c r="E112" s="121">
        <v>0</v>
      </c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2"/>
    </row>
    <row r="114" spans="1:28">
      <c r="A114" s="4" t="s">
        <v>223</v>
      </c>
      <c r="B114" s="1" t="str">
        <f>Założenia!F127</f>
        <v>Typ C</v>
      </c>
    </row>
    <row r="116" spans="1:28">
      <c r="A116" t="s">
        <v>224</v>
      </c>
      <c r="B116">
        <f>Założenia!F130*100</f>
        <v>140</v>
      </c>
      <c r="C116" t="s">
        <v>225</v>
      </c>
    </row>
    <row r="117" spans="1:28">
      <c r="A117" t="s">
        <v>226</v>
      </c>
      <c r="B117">
        <f>B116/100</f>
        <v>1.4</v>
      </c>
      <c r="C117" t="s">
        <v>215</v>
      </c>
    </row>
    <row r="119" spans="1:28">
      <c r="B119" s="34" t="s">
        <v>404</v>
      </c>
      <c r="C119" s="56" t="s">
        <v>15</v>
      </c>
      <c r="D119" s="66">
        <v>2024</v>
      </c>
      <c r="E119" s="67">
        <v>2025</v>
      </c>
      <c r="F119" s="67">
        <v>2026</v>
      </c>
      <c r="G119" s="67">
        <v>2027</v>
      </c>
      <c r="H119" s="67">
        <v>2028</v>
      </c>
      <c r="I119" s="67">
        <v>2029</v>
      </c>
      <c r="J119" s="67">
        <v>2030</v>
      </c>
      <c r="K119" s="67">
        <v>2031</v>
      </c>
      <c r="L119" s="67">
        <v>2032</v>
      </c>
      <c r="M119" s="67">
        <v>2033</v>
      </c>
      <c r="N119" s="67">
        <v>2034</v>
      </c>
      <c r="O119" s="67">
        <v>2035</v>
      </c>
      <c r="P119" s="67">
        <v>2036</v>
      </c>
      <c r="Q119" s="67">
        <v>2037</v>
      </c>
      <c r="R119" s="67">
        <v>2038</v>
      </c>
      <c r="S119" s="67">
        <v>2039</v>
      </c>
      <c r="T119" s="67">
        <v>2040</v>
      </c>
      <c r="U119" s="67">
        <v>2041</v>
      </c>
      <c r="V119" s="67">
        <v>2042</v>
      </c>
      <c r="W119" s="67">
        <v>2043</v>
      </c>
      <c r="X119" s="67">
        <v>2044</v>
      </c>
      <c r="Y119" s="67">
        <v>2045</v>
      </c>
      <c r="Z119" s="67">
        <v>2046</v>
      </c>
      <c r="AA119" s="67">
        <v>2047</v>
      </c>
      <c r="AB119" s="67">
        <v>2048</v>
      </c>
    </row>
    <row r="120" spans="1:28">
      <c r="B120" s="21" t="s">
        <v>216</v>
      </c>
      <c r="C120" s="22" t="s">
        <v>218</v>
      </c>
      <c r="D120" s="68">
        <f t="shared" ref="D120:AB120" si="2">$B$117*C$23</f>
        <v>911.88195348994384</v>
      </c>
      <c r="E120" s="68">
        <f t="shared" si="2"/>
        <v>903.79149590472105</v>
      </c>
      <c r="F120" s="68">
        <f t="shared" si="2"/>
        <v>885.16636591674899</v>
      </c>
      <c r="G120" s="68">
        <f t="shared" si="2"/>
        <v>866.54123592877681</v>
      </c>
      <c r="H120" s="68">
        <f t="shared" si="2"/>
        <v>847.91610594080475</v>
      </c>
      <c r="I120" s="68">
        <f t="shared" si="2"/>
        <v>829.29097595283258</v>
      </c>
      <c r="J120" s="68">
        <f t="shared" si="2"/>
        <v>810.6658459648603</v>
      </c>
      <c r="K120" s="68">
        <f t="shared" si="2"/>
        <v>773.52377737053052</v>
      </c>
      <c r="L120" s="68">
        <f t="shared" si="2"/>
        <v>736.38170877620064</v>
      </c>
      <c r="M120" s="68">
        <f t="shared" si="2"/>
        <v>699.23964018187087</v>
      </c>
      <c r="N120" s="68">
        <f t="shared" si="2"/>
        <v>662.09757158754098</v>
      </c>
      <c r="O120" s="68">
        <f t="shared" si="2"/>
        <v>624.95550299321133</v>
      </c>
      <c r="P120" s="68">
        <f t="shared" si="2"/>
        <v>604.4912442083322</v>
      </c>
      <c r="Q120" s="68">
        <f t="shared" si="2"/>
        <v>584.0269854234532</v>
      </c>
      <c r="R120" s="68">
        <f t="shared" si="2"/>
        <v>563.56272663857408</v>
      </c>
      <c r="S120" s="68">
        <f t="shared" si="2"/>
        <v>543.09846785369507</v>
      </c>
      <c r="T120" s="68">
        <f t="shared" si="2"/>
        <v>522.63420906881606</v>
      </c>
      <c r="U120" s="68">
        <f t="shared" si="2"/>
        <v>522.63420906881606</v>
      </c>
      <c r="V120" s="68">
        <f t="shared" si="2"/>
        <v>522.63420906881606</v>
      </c>
      <c r="W120" s="68">
        <f t="shared" si="2"/>
        <v>522.63420906881606</v>
      </c>
      <c r="X120" s="68">
        <f t="shared" si="2"/>
        <v>522.63420906881606</v>
      </c>
      <c r="Y120" s="68">
        <f t="shared" si="2"/>
        <v>522.63420906881606</v>
      </c>
      <c r="Z120" s="68">
        <f t="shared" si="2"/>
        <v>522.63420906881606</v>
      </c>
      <c r="AA120" s="68">
        <f t="shared" si="2"/>
        <v>522.63420906881606</v>
      </c>
      <c r="AB120" s="68">
        <f t="shared" si="2"/>
        <v>522.63420906881606</v>
      </c>
    </row>
    <row r="121" spans="1:28">
      <c r="B121" s="117" t="s">
        <v>217</v>
      </c>
      <c r="C121" s="26" t="s">
        <v>227</v>
      </c>
      <c r="D121" s="120">
        <v>0</v>
      </c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2"/>
    </row>
    <row r="122" spans="1:28">
      <c r="B122" s="118"/>
      <c r="C122" s="26" t="s">
        <v>220</v>
      </c>
      <c r="D122" s="120">
        <v>0</v>
      </c>
      <c r="E122" s="121">
        <v>0</v>
      </c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2"/>
    </row>
    <row r="123" spans="1:28">
      <c r="B123" s="118"/>
      <c r="C123" s="26" t="s">
        <v>221</v>
      </c>
      <c r="D123" s="120">
        <v>0</v>
      </c>
      <c r="E123" s="121">
        <v>0</v>
      </c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2"/>
    </row>
    <row r="124" spans="1:28">
      <c r="B124" s="119"/>
      <c r="C124" s="22" t="s">
        <v>222</v>
      </c>
      <c r="D124" s="120">
        <v>0</v>
      </c>
      <c r="E124" s="121">
        <v>0</v>
      </c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2"/>
    </row>
  </sheetData>
  <mergeCells count="20">
    <mergeCell ref="B121:B124"/>
    <mergeCell ref="B109:B112"/>
    <mergeCell ref="D97:AB97"/>
    <mergeCell ref="D98:AB98"/>
    <mergeCell ref="D99:AB99"/>
    <mergeCell ref="D100:AB100"/>
    <mergeCell ref="D109:AB109"/>
    <mergeCell ref="D110:AB110"/>
    <mergeCell ref="D111:AB111"/>
    <mergeCell ref="B97:B100"/>
    <mergeCell ref="D112:AB112"/>
    <mergeCell ref="D121:AB121"/>
    <mergeCell ref="D122:AB122"/>
    <mergeCell ref="D123:AB123"/>
    <mergeCell ref="D124:AB124"/>
    <mergeCell ref="A39:E39"/>
    <mergeCell ref="A46:E46"/>
    <mergeCell ref="C67:F67"/>
    <mergeCell ref="C85:F85"/>
    <mergeCell ref="C76:F76"/>
  </mergeCells>
  <hyperlinks>
    <hyperlink ref="A39" r:id="rId1" display="https://www.eea.europa.eu/ds_resolveuid/SHNJDK8413" xr:uid="{00000000-0004-0000-0500-000000000000}"/>
    <hyperlink ref="A20" r:id="rId2" xr:uid="{00000000-0004-0000-0500-000001000000}"/>
    <hyperlink ref="A26" r:id="rId3" xr:uid="{00000000-0004-0000-0500-000002000000}"/>
    <hyperlink ref="A46" r:id="rId4" display="https://www.eea.europa.eu/ds_resolveuid/SHNJDK8413" xr:uid="{00000000-0004-0000-0500-000003000000}"/>
  </hyperlinks>
  <pageMargins left="0.7" right="0.7" top="0.75" bottom="0.75" header="0.3" footer="0.3"/>
  <pageSetup paperSize="9" orientation="portrait" horizontalDpi="300" verticalDpi="0" copies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9"/>
  <sheetViews>
    <sheetView tabSelected="1" topLeftCell="A22" workbookViewId="0">
      <selection activeCell="A33" sqref="A33:XFD33"/>
    </sheetView>
  </sheetViews>
  <sheetFormatPr defaultRowHeight="14.4"/>
  <cols>
    <col min="1" max="1" width="37.6640625" bestFit="1" customWidth="1"/>
    <col min="2" max="2" width="9.88671875" style="13" bestFit="1" customWidth="1"/>
    <col min="3" max="3" width="14.88671875" customWidth="1"/>
    <col min="4" max="28" width="13.6640625" customWidth="1"/>
    <col min="29" max="35" width="11.44140625" bestFit="1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s="4" t="s">
        <v>75</v>
      </c>
    </row>
    <row r="5" spans="1:28">
      <c r="A5" t="s">
        <v>78</v>
      </c>
      <c r="B5" s="13" t="s">
        <v>74</v>
      </c>
      <c r="E5" s="7">
        <f>SUM(E6:E8)</f>
        <v>800000</v>
      </c>
      <c r="F5" s="7">
        <f t="shared" ref="F5:AB5" si="0">SUM(F6:F8)</f>
        <v>800000</v>
      </c>
      <c r="G5" s="7">
        <f t="shared" si="0"/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>
        <f t="shared" si="0"/>
        <v>0</v>
      </c>
    </row>
    <row r="6" spans="1:28">
      <c r="A6" s="38" t="str">
        <f>Założenia!$D$34</f>
        <v>Typ 1</v>
      </c>
      <c r="B6" s="13" t="s">
        <v>74</v>
      </c>
      <c r="E6" s="7">
        <f>Eksploatacja!E7</f>
        <v>320000</v>
      </c>
      <c r="F6" s="7">
        <f>Eksploatacja!F7</f>
        <v>320000</v>
      </c>
      <c r="G6" s="7">
        <f>Eksploatacja!G7</f>
        <v>320000</v>
      </c>
      <c r="H6" s="7">
        <f>Eksploatacja!H7</f>
        <v>320000</v>
      </c>
      <c r="I6" s="7">
        <f>Eksploatacja!I7</f>
        <v>320000</v>
      </c>
      <c r="J6" s="7">
        <f>Eksploatacja!J7</f>
        <v>320000</v>
      </c>
      <c r="K6" s="7">
        <f>Eksploatacja!K7</f>
        <v>320000</v>
      </c>
      <c r="L6" s="7">
        <f>Eksploatacja!L7</f>
        <v>320000</v>
      </c>
      <c r="M6" s="7">
        <f>Eksploatacja!M7</f>
        <v>320000</v>
      </c>
      <c r="N6" s="7">
        <f>Eksploatacja!N7</f>
        <v>320000</v>
      </c>
      <c r="O6" s="7">
        <f>Eksploatacja!O7</f>
        <v>320000</v>
      </c>
      <c r="P6" s="7">
        <f>Eksploatacja!P7</f>
        <v>320000</v>
      </c>
      <c r="Q6" s="7">
        <f>Eksploatacja!Q7</f>
        <v>320000</v>
      </c>
      <c r="R6" s="7">
        <f>Eksploatacja!R7</f>
        <v>320000</v>
      </c>
      <c r="S6" s="7">
        <f>Eksploatacja!S7</f>
        <v>320000</v>
      </c>
      <c r="T6" s="7">
        <f>Eksploatacja!T7</f>
        <v>320000</v>
      </c>
      <c r="U6" s="7">
        <f>Eksploatacja!U7</f>
        <v>320000</v>
      </c>
      <c r="V6" s="7">
        <f>Eksploatacja!V7</f>
        <v>320000</v>
      </c>
      <c r="W6" s="7">
        <f>Eksploatacja!W7</f>
        <v>320000</v>
      </c>
      <c r="X6" s="7">
        <f>Eksploatacja!X7</f>
        <v>320000</v>
      </c>
      <c r="Y6" s="7">
        <f>Eksploatacja!Y7</f>
        <v>320000</v>
      </c>
      <c r="Z6" s="7">
        <f>Eksploatacja!Z7</f>
        <v>320000</v>
      </c>
      <c r="AA6" s="7">
        <f>Eksploatacja!AA7</f>
        <v>320000</v>
      </c>
      <c r="AB6" s="7">
        <f>Eksploatacja!AB7</f>
        <v>0</v>
      </c>
    </row>
    <row r="7" spans="1:28">
      <c r="A7" s="38" t="str">
        <f>Założenia!$E$34</f>
        <v>Typ 2</v>
      </c>
      <c r="B7" s="13" t="s">
        <v>74</v>
      </c>
      <c r="E7" s="7">
        <f>Eksploatacja!E8</f>
        <v>320000</v>
      </c>
      <c r="F7" s="7">
        <f>Eksploatacja!F8</f>
        <v>320000</v>
      </c>
      <c r="G7" s="7">
        <f>Eksploatacja!G8</f>
        <v>320000</v>
      </c>
      <c r="H7" s="7">
        <f>Eksploatacja!H8</f>
        <v>320000</v>
      </c>
      <c r="I7" s="7">
        <f>Eksploatacja!I8</f>
        <v>320000</v>
      </c>
      <c r="J7" s="7">
        <f>Eksploatacja!J8</f>
        <v>320000</v>
      </c>
      <c r="K7" s="7">
        <f>Eksploatacja!K8</f>
        <v>320000</v>
      </c>
      <c r="L7" s="7">
        <f>Eksploatacja!L8</f>
        <v>320000</v>
      </c>
      <c r="M7" s="7">
        <f>Eksploatacja!M8</f>
        <v>320000</v>
      </c>
      <c r="N7" s="7">
        <f>Eksploatacja!N8</f>
        <v>320000</v>
      </c>
      <c r="O7" s="7">
        <f>Eksploatacja!O8</f>
        <v>320000</v>
      </c>
      <c r="P7" s="7">
        <f>Eksploatacja!P8</f>
        <v>320000</v>
      </c>
      <c r="Q7" s="7">
        <f>Eksploatacja!Q8</f>
        <v>320000</v>
      </c>
      <c r="R7" s="7">
        <f>Eksploatacja!R8</f>
        <v>320000</v>
      </c>
      <c r="S7" s="7">
        <f>Eksploatacja!S8</f>
        <v>320000</v>
      </c>
      <c r="T7" s="7">
        <f>Eksploatacja!T8</f>
        <v>320000</v>
      </c>
      <c r="U7" s="7">
        <f>Eksploatacja!U8</f>
        <v>320000</v>
      </c>
      <c r="V7" s="7">
        <f>Eksploatacja!V8</f>
        <v>320000</v>
      </c>
      <c r="W7" s="7">
        <f>Eksploatacja!W8</f>
        <v>320000</v>
      </c>
      <c r="X7" s="7">
        <f>Eksploatacja!X8</f>
        <v>320000</v>
      </c>
      <c r="Y7" s="7">
        <f>Eksploatacja!Y8</f>
        <v>320000</v>
      </c>
      <c r="Z7" s="7">
        <f>Eksploatacja!Z8</f>
        <v>320000</v>
      </c>
      <c r="AA7" s="7">
        <f>Eksploatacja!AA8</f>
        <v>320000</v>
      </c>
      <c r="AB7" s="7">
        <f>Eksploatacja!AB8</f>
        <v>0</v>
      </c>
    </row>
    <row r="8" spans="1:28">
      <c r="A8" s="38" t="str">
        <f>Założenia!$F$34</f>
        <v>Typ 3</v>
      </c>
      <c r="B8" s="13" t="s">
        <v>74</v>
      </c>
      <c r="E8" s="7">
        <f>Eksploatacja!E9</f>
        <v>160000</v>
      </c>
      <c r="F8" s="7">
        <f>Eksploatacja!F9</f>
        <v>160000</v>
      </c>
      <c r="G8" s="7">
        <f>Eksploatacja!G9</f>
        <v>160000</v>
      </c>
      <c r="H8" s="7">
        <f>Eksploatacja!H9</f>
        <v>160000</v>
      </c>
      <c r="I8" s="7">
        <f>Eksploatacja!I9</f>
        <v>160000</v>
      </c>
      <c r="J8" s="7">
        <f>Eksploatacja!J9</f>
        <v>160000</v>
      </c>
      <c r="K8" s="7">
        <f>Eksploatacja!K9</f>
        <v>160000</v>
      </c>
      <c r="L8" s="7">
        <f>Eksploatacja!L9</f>
        <v>160000</v>
      </c>
      <c r="M8" s="7">
        <f>Eksploatacja!M9</f>
        <v>160000</v>
      </c>
      <c r="N8" s="7">
        <f>Eksploatacja!N9</f>
        <v>160000</v>
      </c>
      <c r="O8" s="7">
        <f>Eksploatacja!O9</f>
        <v>160000</v>
      </c>
      <c r="P8" s="7">
        <f>Eksploatacja!P9</f>
        <v>160000</v>
      </c>
      <c r="Q8" s="7">
        <f>Eksploatacja!Q9</f>
        <v>160000</v>
      </c>
      <c r="R8" s="7">
        <f>Eksploatacja!R9</f>
        <v>160000</v>
      </c>
      <c r="S8" s="7">
        <f>Eksploatacja!S9</f>
        <v>160000</v>
      </c>
      <c r="T8" s="7">
        <f>Eksploatacja!T9</f>
        <v>160000</v>
      </c>
      <c r="U8" s="7">
        <f>Eksploatacja!U9</f>
        <v>160000</v>
      </c>
      <c r="V8" s="7">
        <f>Eksploatacja!V9</f>
        <v>160000</v>
      </c>
      <c r="W8" s="7">
        <f>Eksploatacja!W9</f>
        <v>160000</v>
      </c>
      <c r="X8" s="7">
        <f>Eksploatacja!X9</f>
        <v>160000</v>
      </c>
      <c r="Y8" s="7">
        <f>Eksploatacja!Y9</f>
        <v>160000</v>
      </c>
      <c r="Z8" s="7">
        <f>Eksploatacja!Z9</f>
        <v>160000</v>
      </c>
      <c r="AA8" s="7">
        <f>Eksploatacja!AA9</f>
        <v>160000</v>
      </c>
      <c r="AB8" s="7">
        <f>Eksploatacja!AB9</f>
        <v>0</v>
      </c>
    </row>
    <row r="9" spans="1:28"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4" t="s">
        <v>76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78</v>
      </c>
      <c r="B12" s="13" t="s">
        <v>74</v>
      </c>
      <c r="E12" s="7">
        <f>SUM(E13:E15)</f>
        <v>800000</v>
      </c>
      <c r="F12" s="7">
        <f t="shared" ref="F12:AB12" si="1">SUM(F13:F15)</f>
        <v>800000</v>
      </c>
      <c r="G12" s="7">
        <f t="shared" si="1"/>
        <v>800000</v>
      </c>
      <c r="H12" s="7">
        <f t="shared" si="1"/>
        <v>800000</v>
      </c>
      <c r="I12" s="7">
        <f t="shared" si="1"/>
        <v>800000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</row>
    <row r="13" spans="1:28">
      <c r="A13" s="38" t="str">
        <f>Założenia!$D$34</f>
        <v>Typ 1</v>
      </c>
      <c r="B13" s="13" t="s">
        <v>74</v>
      </c>
      <c r="E13" s="7">
        <f>Eksploatacja!E33</f>
        <v>320000</v>
      </c>
      <c r="F13" s="7">
        <f>Eksploatacja!F33</f>
        <v>320000</v>
      </c>
      <c r="G13" s="7">
        <f>Eksploatacja!G33</f>
        <v>320000</v>
      </c>
      <c r="H13" s="7">
        <f>Eksploatacja!H33</f>
        <v>320000</v>
      </c>
      <c r="I13" s="7">
        <f>Eksploatacja!I33</f>
        <v>320000</v>
      </c>
      <c r="J13" s="7">
        <f>Eksploatacja!J33</f>
        <v>0</v>
      </c>
      <c r="K13" s="7">
        <f>Eksploatacja!K33</f>
        <v>0</v>
      </c>
      <c r="L13" s="7">
        <f>Eksploatacja!L33</f>
        <v>0</v>
      </c>
      <c r="M13" s="7">
        <f>Eksploatacja!M33</f>
        <v>0</v>
      </c>
      <c r="N13" s="7">
        <f>Eksploatacja!N33</f>
        <v>0</v>
      </c>
      <c r="O13" s="7">
        <f>Eksploatacja!O33</f>
        <v>0</v>
      </c>
      <c r="P13" s="7">
        <f>Eksploatacja!P33</f>
        <v>0</v>
      </c>
      <c r="Q13" s="7">
        <f>Eksploatacja!Q33</f>
        <v>0</v>
      </c>
      <c r="R13" s="7">
        <f>Eksploatacja!R33</f>
        <v>0</v>
      </c>
      <c r="S13" s="7">
        <f>Eksploatacja!S33</f>
        <v>0</v>
      </c>
      <c r="T13" s="7">
        <f>Eksploatacja!T33</f>
        <v>0</v>
      </c>
      <c r="U13" s="7">
        <f>Eksploatacja!U33</f>
        <v>0</v>
      </c>
      <c r="V13" s="7">
        <f>Eksploatacja!V33</f>
        <v>0</v>
      </c>
      <c r="W13" s="7">
        <f>Eksploatacja!W33</f>
        <v>0</v>
      </c>
      <c r="X13" s="7">
        <f>Eksploatacja!X33</f>
        <v>0</v>
      </c>
      <c r="Y13" s="7">
        <f>Eksploatacja!Y33</f>
        <v>0</v>
      </c>
      <c r="Z13" s="7">
        <f>Eksploatacja!Z33</f>
        <v>0</v>
      </c>
      <c r="AA13" s="7">
        <f>Eksploatacja!AA33</f>
        <v>0</v>
      </c>
      <c r="AB13" s="7">
        <f>Eksploatacja!AB33</f>
        <v>0</v>
      </c>
    </row>
    <row r="14" spans="1:28">
      <c r="A14" s="38" t="str">
        <f>Założenia!$E$34</f>
        <v>Typ 2</v>
      </c>
      <c r="B14" s="13" t="s">
        <v>74</v>
      </c>
      <c r="E14" s="7">
        <f>Eksploatacja!E34</f>
        <v>320000</v>
      </c>
      <c r="F14" s="7">
        <f>Eksploatacja!F34</f>
        <v>320000</v>
      </c>
      <c r="G14" s="7">
        <f>Eksploatacja!G34</f>
        <v>320000</v>
      </c>
      <c r="H14" s="7">
        <f>Eksploatacja!H34</f>
        <v>320000</v>
      </c>
      <c r="I14" s="7">
        <f>Eksploatacja!I34</f>
        <v>320000</v>
      </c>
      <c r="J14" s="7">
        <f>Eksploatacja!J34</f>
        <v>0</v>
      </c>
      <c r="K14" s="7">
        <f>Eksploatacja!K34</f>
        <v>0</v>
      </c>
      <c r="L14" s="7">
        <f>Eksploatacja!L34</f>
        <v>0</v>
      </c>
      <c r="M14" s="7">
        <f>Eksploatacja!M34</f>
        <v>0</v>
      </c>
      <c r="N14" s="7">
        <f>Eksploatacja!N34</f>
        <v>0</v>
      </c>
      <c r="O14" s="7">
        <f>Eksploatacja!O34</f>
        <v>0</v>
      </c>
      <c r="P14" s="7">
        <f>Eksploatacja!P34</f>
        <v>0</v>
      </c>
      <c r="Q14" s="7">
        <f>Eksploatacja!Q34</f>
        <v>0</v>
      </c>
      <c r="R14" s="7">
        <f>Eksploatacja!R34</f>
        <v>0</v>
      </c>
      <c r="S14" s="7">
        <f>Eksploatacja!S34</f>
        <v>0</v>
      </c>
      <c r="T14" s="7">
        <f>Eksploatacja!T34</f>
        <v>0</v>
      </c>
      <c r="U14" s="7">
        <f>Eksploatacja!U34</f>
        <v>0</v>
      </c>
      <c r="V14" s="7">
        <f>Eksploatacja!V34</f>
        <v>0</v>
      </c>
      <c r="W14" s="7">
        <f>Eksploatacja!W34</f>
        <v>0</v>
      </c>
      <c r="X14" s="7">
        <f>Eksploatacja!X34</f>
        <v>0</v>
      </c>
      <c r="Y14" s="7">
        <f>Eksploatacja!Y34</f>
        <v>0</v>
      </c>
      <c r="Z14" s="7">
        <f>Eksploatacja!Z34</f>
        <v>0</v>
      </c>
      <c r="AA14" s="7">
        <f>Eksploatacja!AA34</f>
        <v>0</v>
      </c>
      <c r="AB14" s="7">
        <f>Eksploatacja!AB34</f>
        <v>0</v>
      </c>
    </row>
    <row r="15" spans="1:28">
      <c r="A15" s="38" t="str">
        <f>Założenia!$F$34</f>
        <v>Typ 3</v>
      </c>
      <c r="B15" s="13" t="s">
        <v>74</v>
      </c>
      <c r="E15" s="7">
        <f>Eksploatacja!E35</f>
        <v>160000</v>
      </c>
      <c r="F15" s="7">
        <f>Eksploatacja!F35</f>
        <v>160000</v>
      </c>
      <c r="G15" s="7">
        <f>Eksploatacja!G35</f>
        <v>160000</v>
      </c>
      <c r="H15" s="7">
        <f>Eksploatacja!H35</f>
        <v>160000</v>
      </c>
      <c r="I15" s="7">
        <f>Eksploatacja!I35</f>
        <v>160000</v>
      </c>
      <c r="J15" s="7">
        <f>Eksploatacja!J35</f>
        <v>0</v>
      </c>
      <c r="K15" s="7">
        <f>Eksploatacja!K35</f>
        <v>0</v>
      </c>
      <c r="L15" s="7">
        <f>Eksploatacja!L35</f>
        <v>0</v>
      </c>
      <c r="M15" s="7">
        <f>Eksploatacja!M35</f>
        <v>0</v>
      </c>
      <c r="N15" s="7">
        <f>Eksploatacja!N35</f>
        <v>0</v>
      </c>
      <c r="O15" s="7">
        <f>Eksploatacja!O35</f>
        <v>0</v>
      </c>
      <c r="P15" s="7">
        <f>Eksploatacja!P35</f>
        <v>0</v>
      </c>
      <c r="Q15" s="7">
        <f>Eksploatacja!Q35</f>
        <v>0</v>
      </c>
      <c r="R15" s="7">
        <f>Eksploatacja!R35</f>
        <v>0</v>
      </c>
      <c r="S15" s="7">
        <f>Eksploatacja!S35</f>
        <v>0</v>
      </c>
      <c r="T15" s="7">
        <f>Eksploatacja!T35</f>
        <v>0</v>
      </c>
      <c r="U15" s="7">
        <f>Eksploatacja!U35</f>
        <v>0</v>
      </c>
      <c r="V15" s="7">
        <f>Eksploatacja!V35</f>
        <v>0</v>
      </c>
      <c r="W15" s="7">
        <f>Eksploatacja!W35</f>
        <v>0</v>
      </c>
      <c r="X15" s="7">
        <f>Eksploatacja!X35</f>
        <v>0</v>
      </c>
      <c r="Y15" s="7">
        <f>Eksploatacja!Y35</f>
        <v>0</v>
      </c>
      <c r="Z15" s="7">
        <f>Eksploatacja!Z35</f>
        <v>0</v>
      </c>
      <c r="AA15" s="7">
        <f>Eksploatacja!AA35</f>
        <v>0</v>
      </c>
      <c r="AB15" s="7">
        <f>Eksploatacja!AB35</f>
        <v>0</v>
      </c>
    </row>
    <row r="16" spans="1:28">
      <c r="A16" s="3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t="s">
        <v>72</v>
      </c>
      <c r="B17" s="13" t="s">
        <v>74</v>
      </c>
      <c r="E17" s="7">
        <f>SUM(E18:E20)</f>
        <v>0</v>
      </c>
      <c r="F17" s="7">
        <f t="shared" ref="F17:AB17" si="2">SUM(F18:F20)</f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800000</v>
      </c>
      <c r="K17" s="7">
        <f t="shared" si="2"/>
        <v>800000</v>
      </c>
      <c r="L17" s="7">
        <f t="shared" si="2"/>
        <v>800000</v>
      </c>
      <c r="M17" s="7">
        <f t="shared" si="2"/>
        <v>800000</v>
      </c>
      <c r="N17" s="7">
        <f t="shared" si="2"/>
        <v>800000</v>
      </c>
      <c r="O17" s="7">
        <f t="shared" si="2"/>
        <v>800000</v>
      </c>
      <c r="P17" s="7">
        <f t="shared" si="2"/>
        <v>800000</v>
      </c>
      <c r="Q17" s="7">
        <f t="shared" si="2"/>
        <v>800000</v>
      </c>
      <c r="R17" s="7">
        <f t="shared" si="2"/>
        <v>800000</v>
      </c>
      <c r="S17" s="7">
        <f t="shared" si="2"/>
        <v>800000</v>
      </c>
      <c r="T17" s="7">
        <f t="shared" si="2"/>
        <v>800000</v>
      </c>
      <c r="U17" s="7">
        <f t="shared" si="2"/>
        <v>800000</v>
      </c>
      <c r="V17" s="7">
        <f t="shared" si="2"/>
        <v>800000</v>
      </c>
      <c r="W17" s="7">
        <f t="shared" si="2"/>
        <v>800000</v>
      </c>
      <c r="X17" s="7">
        <f t="shared" si="2"/>
        <v>800000</v>
      </c>
      <c r="Y17" s="7">
        <f t="shared" si="2"/>
        <v>800000</v>
      </c>
      <c r="Z17" s="7">
        <f t="shared" si="2"/>
        <v>800000</v>
      </c>
      <c r="AA17" s="7">
        <f t="shared" si="2"/>
        <v>800000</v>
      </c>
      <c r="AB17" s="7">
        <f t="shared" si="2"/>
        <v>0</v>
      </c>
    </row>
    <row r="18" spans="1:28">
      <c r="A18" s="38" t="str">
        <f>Założenia!$D$35</f>
        <v>Typ A</v>
      </c>
      <c r="B18" s="13" t="s">
        <v>74</v>
      </c>
      <c r="E18" s="7">
        <f>Eksploatacja!E29</f>
        <v>0</v>
      </c>
      <c r="F18" s="7">
        <f>Eksploatacja!F29</f>
        <v>0</v>
      </c>
      <c r="G18" s="7">
        <f>Eksploatacja!G29</f>
        <v>0</v>
      </c>
      <c r="H18" s="7">
        <f>Eksploatacja!H29</f>
        <v>0</v>
      </c>
      <c r="I18" s="7">
        <f>Eksploatacja!I29</f>
        <v>0</v>
      </c>
      <c r="J18" s="7">
        <f>Eksploatacja!J29</f>
        <v>240000</v>
      </c>
      <c r="K18" s="7">
        <f>Eksploatacja!K29</f>
        <v>240000</v>
      </c>
      <c r="L18" s="7">
        <f>Eksploatacja!L29</f>
        <v>240000</v>
      </c>
      <c r="M18" s="7">
        <f>Eksploatacja!M29</f>
        <v>240000</v>
      </c>
      <c r="N18" s="7">
        <f>Eksploatacja!N29</f>
        <v>240000</v>
      </c>
      <c r="O18" s="7">
        <f>Eksploatacja!O29</f>
        <v>240000</v>
      </c>
      <c r="P18" s="7">
        <f>Eksploatacja!P29</f>
        <v>240000</v>
      </c>
      <c r="Q18" s="7">
        <f>Eksploatacja!Q29</f>
        <v>240000</v>
      </c>
      <c r="R18" s="7">
        <f>Eksploatacja!R29</f>
        <v>240000</v>
      </c>
      <c r="S18" s="7">
        <f>Eksploatacja!S29</f>
        <v>240000</v>
      </c>
      <c r="T18" s="7">
        <f>Eksploatacja!T29</f>
        <v>240000</v>
      </c>
      <c r="U18" s="7">
        <f>Eksploatacja!U29</f>
        <v>240000</v>
      </c>
      <c r="V18" s="7">
        <f>Eksploatacja!V29</f>
        <v>240000</v>
      </c>
      <c r="W18" s="7">
        <f>Eksploatacja!W29</f>
        <v>240000</v>
      </c>
      <c r="X18" s="7">
        <f>Eksploatacja!X29</f>
        <v>240000</v>
      </c>
      <c r="Y18" s="7">
        <f>Eksploatacja!Y29</f>
        <v>240000</v>
      </c>
      <c r="Z18" s="7">
        <f>Eksploatacja!Z29</f>
        <v>240000</v>
      </c>
      <c r="AA18" s="7">
        <f>Eksploatacja!AA29</f>
        <v>240000</v>
      </c>
      <c r="AB18" s="7">
        <f>Eksploatacja!AB29</f>
        <v>0</v>
      </c>
    </row>
    <row r="19" spans="1:28">
      <c r="A19" s="38" t="str">
        <f>Założenia!$E$35</f>
        <v>Typ B</v>
      </c>
      <c r="B19" s="13" t="s">
        <v>74</v>
      </c>
      <c r="E19" s="7">
        <f>Eksploatacja!E30</f>
        <v>0</v>
      </c>
      <c r="F19" s="7">
        <f>Eksploatacja!F30</f>
        <v>0</v>
      </c>
      <c r="G19" s="7">
        <f>Eksploatacja!G30</f>
        <v>0</v>
      </c>
      <c r="H19" s="7">
        <f>Eksploatacja!H30</f>
        <v>0</v>
      </c>
      <c r="I19" s="7">
        <f>Eksploatacja!I30</f>
        <v>0</v>
      </c>
      <c r="J19" s="7">
        <f>Eksploatacja!J30</f>
        <v>240000</v>
      </c>
      <c r="K19" s="7">
        <f>Eksploatacja!K30</f>
        <v>240000</v>
      </c>
      <c r="L19" s="7">
        <f>Eksploatacja!L30</f>
        <v>240000</v>
      </c>
      <c r="M19" s="7">
        <f>Eksploatacja!M30</f>
        <v>240000</v>
      </c>
      <c r="N19" s="7">
        <f>Eksploatacja!N30</f>
        <v>240000</v>
      </c>
      <c r="O19" s="7">
        <f>Eksploatacja!O30</f>
        <v>240000</v>
      </c>
      <c r="P19" s="7">
        <f>Eksploatacja!P30</f>
        <v>240000</v>
      </c>
      <c r="Q19" s="7">
        <f>Eksploatacja!Q30</f>
        <v>240000</v>
      </c>
      <c r="R19" s="7">
        <f>Eksploatacja!R30</f>
        <v>240000</v>
      </c>
      <c r="S19" s="7">
        <f>Eksploatacja!S30</f>
        <v>240000</v>
      </c>
      <c r="T19" s="7">
        <f>Eksploatacja!T30</f>
        <v>240000</v>
      </c>
      <c r="U19" s="7">
        <f>Eksploatacja!U30</f>
        <v>240000</v>
      </c>
      <c r="V19" s="7">
        <f>Eksploatacja!V30</f>
        <v>240000</v>
      </c>
      <c r="W19" s="7">
        <f>Eksploatacja!W30</f>
        <v>240000</v>
      </c>
      <c r="X19" s="7">
        <f>Eksploatacja!X30</f>
        <v>240000</v>
      </c>
      <c r="Y19" s="7">
        <f>Eksploatacja!Y30</f>
        <v>240000</v>
      </c>
      <c r="Z19" s="7">
        <f>Eksploatacja!Z30</f>
        <v>240000</v>
      </c>
      <c r="AA19" s="7">
        <f>Eksploatacja!AA30</f>
        <v>240000</v>
      </c>
      <c r="AB19" s="7">
        <f>Eksploatacja!AB30</f>
        <v>0</v>
      </c>
    </row>
    <row r="20" spans="1:28">
      <c r="A20" s="38" t="str">
        <f>Założenia!$F$35</f>
        <v>Typ C</v>
      </c>
      <c r="B20" s="13" t="s">
        <v>74</v>
      </c>
      <c r="E20" s="7">
        <f>Eksploatacja!E31</f>
        <v>0</v>
      </c>
      <c r="F20" s="7">
        <f>Eksploatacja!F31</f>
        <v>0</v>
      </c>
      <c r="G20" s="7">
        <f>Eksploatacja!G31</f>
        <v>0</v>
      </c>
      <c r="H20" s="7">
        <f>Eksploatacja!H31</f>
        <v>0</v>
      </c>
      <c r="I20" s="7">
        <f>Eksploatacja!I31</f>
        <v>0</v>
      </c>
      <c r="J20" s="7">
        <f>Eksploatacja!J31</f>
        <v>320000</v>
      </c>
      <c r="K20" s="7">
        <f>Eksploatacja!K31</f>
        <v>320000</v>
      </c>
      <c r="L20" s="7">
        <f>Eksploatacja!L31</f>
        <v>320000</v>
      </c>
      <c r="M20" s="7">
        <f>Eksploatacja!M31</f>
        <v>320000</v>
      </c>
      <c r="N20" s="7">
        <f>Eksploatacja!N31</f>
        <v>320000</v>
      </c>
      <c r="O20" s="7">
        <f>Eksploatacja!O31</f>
        <v>320000</v>
      </c>
      <c r="P20" s="7">
        <f>Eksploatacja!P31</f>
        <v>320000</v>
      </c>
      <c r="Q20" s="7">
        <f>Eksploatacja!Q31</f>
        <v>320000</v>
      </c>
      <c r="R20" s="7">
        <f>Eksploatacja!R31</f>
        <v>320000</v>
      </c>
      <c r="S20" s="7">
        <f>Eksploatacja!S31</f>
        <v>320000</v>
      </c>
      <c r="T20" s="7">
        <f>Eksploatacja!T31</f>
        <v>320000</v>
      </c>
      <c r="U20" s="7">
        <f>Eksploatacja!U31</f>
        <v>320000</v>
      </c>
      <c r="V20" s="7">
        <f>Eksploatacja!V31</f>
        <v>320000</v>
      </c>
      <c r="W20" s="7">
        <f>Eksploatacja!W31</f>
        <v>320000</v>
      </c>
      <c r="X20" s="7">
        <f>Eksploatacja!X31</f>
        <v>320000</v>
      </c>
      <c r="Y20" s="7">
        <f>Eksploatacja!Y31</f>
        <v>320000</v>
      </c>
      <c r="Z20" s="7">
        <f>Eksploatacja!Z31</f>
        <v>320000</v>
      </c>
      <c r="AA20" s="7">
        <f>Eksploatacja!AA31</f>
        <v>320000</v>
      </c>
      <c r="AB20" s="7">
        <f>Eksploatacja!AB31</f>
        <v>0</v>
      </c>
    </row>
    <row r="22" spans="1:28">
      <c r="A22" s="4" t="s">
        <v>402</v>
      </c>
    </row>
    <row r="24" spans="1:28">
      <c r="A24" t="s">
        <v>244</v>
      </c>
    </row>
    <row r="25" spans="1:28">
      <c r="A25" s="38" t="str">
        <f>Założenia!$D$34</f>
        <v>Typ 1</v>
      </c>
      <c r="B25" s="13" t="s">
        <v>243</v>
      </c>
      <c r="D25">
        <f>Emisja!B69/(10^6)</f>
        <v>1.0514742E-3</v>
      </c>
    </row>
    <row r="26" spans="1:28">
      <c r="A26" s="38" t="str">
        <f>Założenia!$E$34</f>
        <v>Typ 2</v>
      </c>
      <c r="B26" s="13" t="s">
        <v>243</v>
      </c>
      <c r="D26">
        <f>Emisja!B78/(10^6)</f>
        <v>1.0514742E-3</v>
      </c>
    </row>
    <row r="27" spans="1:28">
      <c r="A27" s="38" t="str">
        <f>Założenia!$F$34</f>
        <v>Typ 3</v>
      </c>
      <c r="B27" s="13" t="s">
        <v>243</v>
      </c>
      <c r="D27">
        <f>Emisja!B87/(10^6)</f>
        <v>1.0514742E-3</v>
      </c>
    </row>
    <row r="28" spans="1:28">
      <c r="A28" t="s">
        <v>245</v>
      </c>
    </row>
    <row r="29" spans="1:28">
      <c r="A29" s="38" t="str">
        <f>Założenia!$D$35</f>
        <v>Typ A</v>
      </c>
      <c r="B29" s="13" t="s">
        <v>243</v>
      </c>
      <c r="E29" s="30">
        <f>Emisja!D96/(10^6)</f>
        <v>7.8161310299138052E-4</v>
      </c>
      <c r="F29" s="30">
        <f>Emisja!E96/(10^6)</f>
        <v>7.7467842506118948E-4</v>
      </c>
      <c r="G29" s="30">
        <f>Emisja!F96/(10^6)</f>
        <v>7.5871402792864189E-4</v>
      </c>
      <c r="H29" s="30">
        <f>Emisja!G96/(10^6)</f>
        <v>7.4274963079609452E-4</v>
      </c>
      <c r="I29" s="30">
        <f>Emisja!H96/(10^6)</f>
        <v>7.2678523366354693E-4</v>
      </c>
      <c r="J29" s="30">
        <f>Emisja!I96/(10^6)</f>
        <v>7.1082083653099934E-4</v>
      </c>
      <c r="K29" s="30">
        <f>Emisja!J96/(10^6)</f>
        <v>6.9485643939845175E-4</v>
      </c>
      <c r="L29" s="30">
        <f>Emisja!K96/(10^6)</f>
        <v>6.6302038060331184E-4</v>
      </c>
      <c r="M29" s="30">
        <f>Emisja!L96/(10^6)</f>
        <v>6.3118432180817204E-4</v>
      </c>
      <c r="N29" s="30">
        <f>Emisja!M96/(10^6)</f>
        <v>5.9934826301303212E-4</v>
      </c>
      <c r="O29" s="30">
        <f>Emisja!N96/(10^6)</f>
        <v>5.6751220421789232E-4</v>
      </c>
      <c r="P29" s="30">
        <f>Emisja!O96/(10^6)</f>
        <v>5.3567614542275263E-4</v>
      </c>
      <c r="Q29" s="30">
        <f>Emisja!P96/(10^6)</f>
        <v>5.1813535217857057E-4</v>
      </c>
      <c r="R29" s="30">
        <f>Emisja!Q96/(10^6)</f>
        <v>5.005945589343884E-4</v>
      </c>
      <c r="S29" s="30">
        <f>Emisja!R96/(10^6)</f>
        <v>4.8305376569020639E-4</v>
      </c>
      <c r="T29" s="30">
        <f>Emisja!S96/(10^6)</f>
        <v>4.6551297244602432E-4</v>
      </c>
      <c r="U29" s="30">
        <f>Emisja!T96/(10^6)</f>
        <v>4.4797217920184237E-4</v>
      </c>
      <c r="V29" s="30">
        <f>Emisja!U96/(10^6)</f>
        <v>4.4797217920184237E-4</v>
      </c>
      <c r="W29" s="30">
        <f>Emisja!V96/(10^6)</f>
        <v>4.4797217920184237E-4</v>
      </c>
      <c r="X29" s="30">
        <f>Emisja!W96/(10^6)</f>
        <v>4.4797217920184237E-4</v>
      </c>
      <c r="Y29" s="30">
        <f>Emisja!X96/(10^6)</f>
        <v>4.4797217920184237E-4</v>
      </c>
      <c r="Z29" s="30">
        <f>Emisja!Y96/(10^6)</f>
        <v>4.4797217920184237E-4</v>
      </c>
      <c r="AA29" s="30">
        <f>Emisja!Z96/(10^6)</f>
        <v>4.4797217920184237E-4</v>
      </c>
      <c r="AB29" s="30">
        <f>Emisja!AA96/(10^6)</f>
        <v>4.4797217920184237E-4</v>
      </c>
    </row>
    <row r="30" spans="1:28">
      <c r="A30" s="38" t="str">
        <f>Założenia!$E$35</f>
        <v>Typ B</v>
      </c>
      <c r="B30" s="13" t="s">
        <v>243</v>
      </c>
      <c r="E30" s="30">
        <f>Emisja!D108/(10^6)</f>
        <v>8.4674752824066217E-4</v>
      </c>
      <c r="F30" s="30">
        <f>Emisja!E108/(10^6)</f>
        <v>8.3923496048295533E-4</v>
      </c>
      <c r="G30" s="30">
        <f>Emisja!F108/(10^6)</f>
        <v>8.2194019692269555E-4</v>
      </c>
      <c r="H30" s="30">
        <f>Emisja!G108/(10^6)</f>
        <v>8.0464543336243566E-4</v>
      </c>
      <c r="I30" s="30">
        <f>Emisja!H108/(10^6)</f>
        <v>7.8735066980217588E-4</v>
      </c>
      <c r="J30" s="30">
        <f>Emisja!I108/(10^6)</f>
        <v>7.700559062419161E-4</v>
      </c>
      <c r="K30" s="30">
        <f>Emisja!J108/(10^6)</f>
        <v>7.5276114268165611E-4</v>
      </c>
      <c r="L30" s="30">
        <f>Emisja!K108/(10^6)</f>
        <v>7.1827207898692122E-4</v>
      </c>
      <c r="M30" s="30">
        <f>Emisja!L108/(10^6)</f>
        <v>6.8378301529218644E-4</v>
      </c>
      <c r="N30" s="30">
        <f>Emisja!M108/(10^6)</f>
        <v>6.4929395159745156E-4</v>
      </c>
      <c r="O30" s="30">
        <f>Emisja!N108/(10^6)</f>
        <v>6.1480488790271667E-4</v>
      </c>
      <c r="P30" s="30">
        <f>Emisja!O108/(10^6)</f>
        <v>5.80315824207982E-4</v>
      </c>
      <c r="Q30" s="30">
        <f>Emisja!P108/(10^6)</f>
        <v>5.613132981934514E-4</v>
      </c>
      <c r="R30" s="30">
        <f>Emisja!Q108/(10^6)</f>
        <v>5.423107721789208E-4</v>
      </c>
      <c r="S30" s="30">
        <f>Emisja!R108/(10^6)</f>
        <v>5.233082461643903E-4</v>
      </c>
      <c r="T30" s="30">
        <f>Emisja!S108/(10^6)</f>
        <v>5.043057201498597E-4</v>
      </c>
      <c r="U30" s="30">
        <f>Emisja!T108/(10^6)</f>
        <v>4.8530319413532926E-4</v>
      </c>
      <c r="V30" s="30">
        <f>Emisja!U108/(10^6)</f>
        <v>4.8530319413532926E-4</v>
      </c>
      <c r="W30" s="30">
        <f>Emisja!V108/(10^6)</f>
        <v>4.8530319413532926E-4</v>
      </c>
      <c r="X30" s="30">
        <f>Emisja!W108/(10^6)</f>
        <v>4.8530319413532926E-4</v>
      </c>
      <c r="Y30" s="30">
        <f>Emisja!X108/(10^6)</f>
        <v>4.8530319413532926E-4</v>
      </c>
      <c r="Z30" s="30">
        <f>Emisja!Y108/(10^6)</f>
        <v>4.8530319413532926E-4</v>
      </c>
      <c r="AA30" s="30">
        <f>Emisja!Z108/(10^6)</f>
        <v>4.8530319413532926E-4</v>
      </c>
      <c r="AB30" s="30">
        <f>Emisja!AA108/(10^6)</f>
        <v>4.8530319413532926E-4</v>
      </c>
    </row>
    <row r="31" spans="1:28">
      <c r="A31" s="38" t="str">
        <f>Założenia!$F$35</f>
        <v>Typ C</v>
      </c>
      <c r="B31" s="13" t="s">
        <v>243</v>
      </c>
      <c r="E31" s="30">
        <f>Emisja!D120/(10^6)</f>
        <v>9.1188195348994381E-4</v>
      </c>
      <c r="F31" s="30">
        <f>Emisja!E120/(10^6)</f>
        <v>9.0379149590472108E-4</v>
      </c>
      <c r="G31" s="30">
        <f>Emisja!F120/(10^6)</f>
        <v>8.85166365916749E-4</v>
      </c>
      <c r="H31" s="30">
        <f>Emisja!G120/(10^6)</f>
        <v>8.6654123592877681E-4</v>
      </c>
      <c r="I31" s="30">
        <f>Emisja!H120/(10^6)</f>
        <v>8.4791610594080473E-4</v>
      </c>
      <c r="J31" s="30">
        <f>Emisja!I120/(10^6)</f>
        <v>8.2929097595283254E-4</v>
      </c>
      <c r="K31" s="30">
        <f>Emisja!J120/(10^6)</f>
        <v>8.1066584596486025E-4</v>
      </c>
      <c r="L31" s="30">
        <f>Emisja!K120/(10^6)</f>
        <v>7.735237773705305E-4</v>
      </c>
      <c r="M31" s="30">
        <f>Emisja!L120/(10^6)</f>
        <v>7.3638170877620064E-4</v>
      </c>
      <c r="N31" s="30">
        <f>Emisja!M120/(10^6)</f>
        <v>6.9923964018187088E-4</v>
      </c>
      <c r="O31" s="30">
        <f>Emisja!N120/(10^6)</f>
        <v>6.6209757158754102E-4</v>
      </c>
      <c r="P31" s="30">
        <f>Emisja!O120/(10^6)</f>
        <v>6.2495550299321127E-4</v>
      </c>
      <c r="Q31" s="30">
        <f>Emisja!P120/(10^6)</f>
        <v>6.0449124420833224E-4</v>
      </c>
      <c r="R31" s="30">
        <f>Emisja!Q120/(10^6)</f>
        <v>5.840269854234532E-4</v>
      </c>
      <c r="S31" s="30">
        <f>Emisja!R120/(10^6)</f>
        <v>5.6356272663857405E-4</v>
      </c>
      <c r="T31" s="30">
        <f>Emisja!S120/(10^6)</f>
        <v>5.4309846785369502E-4</v>
      </c>
      <c r="U31" s="30">
        <f>Emisja!T120/(10^6)</f>
        <v>5.2263420906881609E-4</v>
      </c>
      <c r="V31" s="30">
        <f>Emisja!U120/(10^6)</f>
        <v>5.2263420906881609E-4</v>
      </c>
      <c r="W31" s="30">
        <f>Emisja!V120/(10^6)</f>
        <v>5.2263420906881609E-4</v>
      </c>
      <c r="X31" s="30">
        <f>Emisja!W120/(10^6)</f>
        <v>5.2263420906881609E-4</v>
      </c>
      <c r="Y31" s="30">
        <f>Emisja!X120/(10^6)</f>
        <v>5.2263420906881609E-4</v>
      </c>
      <c r="Z31" s="30">
        <f>Emisja!Y120/(10^6)</f>
        <v>5.2263420906881609E-4</v>
      </c>
      <c r="AA31" s="30">
        <f>Emisja!Z120/(10^6)</f>
        <v>5.2263420906881609E-4</v>
      </c>
      <c r="AB31" s="30">
        <f>Emisja!AA120/(10^6)</f>
        <v>5.2263420906881609E-4</v>
      </c>
    </row>
    <row r="33" spans="1:28">
      <c r="A33" t="s">
        <v>247</v>
      </c>
      <c r="B33" s="13" t="s">
        <v>400</v>
      </c>
      <c r="C33" s="7">
        <f>SUMPRODUCT(E33:AB33,$E$75:$AB$75)</f>
        <v>10935.331679999999</v>
      </c>
      <c r="E33" s="7">
        <f t="shared" ref="E33:AB33" si="3">SUMPRODUCT($D$25:$D$27,E6:E8)</f>
        <v>841.17935999999997</v>
      </c>
      <c r="F33" s="7">
        <f t="shared" si="3"/>
        <v>841.17935999999997</v>
      </c>
      <c r="G33" s="7">
        <f t="shared" si="3"/>
        <v>841.17935999999997</v>
      </c>
      <c r="H33" s="7">
        <f t="shared" si="3"/>
        <v>841.17935999999997</v>
      </c>
      <c r="I33" s="7">
        <f t="shared" si="3"/>
        <v>841.17935999999997</v>
      </c>
      <c r="J33" s="7">
        <f t="shared" si="3"/>
        <v>841.17935999999997</v>
      </c>
      <c r="K33" s="7">
        <f t="shared" si="3"/>
        <v>841.17935999999997</v>
      </c>
      <c r="L33" s="7">
        <f t="shared" si="3"/>
        <v>841.17935999999997</v>
      </c>
      <c r="M33" s="7">
        <f t="shared" si="3"/>
        <v>841.17935999999997</v>
      </c>
      <c r="N33" s="7">
        <f t="shared" si="3"/>
        <v>841.17935999999997</v>
      </c>
      <c r="O33" s="7">
        <f t="shared" si="3"/>
        <v>841.17935999999997</v>
      </c>
      <c r="P33" s="7">
        <f t="shared" si="3"/>
        <v>841.17935999999997</v>
      </c>
      <c r="Q33" s="7">
        <f t="shared" si="3"/>
        <v>841.17935999999997</v>
      </c>
      <c r="R33" s="7">
        <f t="shared" si="3"/>
        <v>841.17935999999997</v>
      </c>
      <c r="S33" s="7">
        <f t="shared" si="3"/>
        <v>841.17935999999997</v>
      </c>
      <c r="T33" s="7">
        <f t="shared" si="3"/>
        <v>841.17935999999997</v>
      </c>
      <c r="U33" s="7">
        <f t="shared" si="3"/>
        <v>841.17935999999997</v>
      </c>
      <c r="V33" s="7">
        <f t="shared" si="3"/>
        <v>841.17935999999997</v>
      </c>
      <c r="W33" s="7">
        <f t="shared" si="3"/>
        <v>841.17935999999997</v>
      </c>
      <c r="X33" s="7">
        <f t="shared" si="3"/>
        <v>841.17935999999997</v>
      </c>
      <c r="Y33" s="7">
        <f t="shared" si="3"/>
        <v>841.17935999999997</v>
      </c>
      <c r="Z33" s="7">
        <f t="shared" si="3"/>
        <v>841.17935999999997</v>
      </c>
      <c r="AA33" s="7">
        <f t="shared" si="3"/>
        <v>841.17935999999997</v>
      </c>
      <c r="AB33" s="7">
        <f t="shared" si="3"/>
        <v>0</v>
      </c>
    </row>
    <row r="34" spans="1:28">
      <c r="A34" t="s">
        <v>248</v>
      </c>
      <c r="B34" s="13" t="s">
        <v>400</v>
      </c>
      <c r="C34" s="7">
        <f t="shared" ref="C34:C35" si="4">SUMPRODUCT(E34:AB34,$E$75:$AB$75)</f>
        <v>6345.3427161521377</v>
      </c>
      <c r="E34" s="7">
        <f>SUMPRODUCT($D$25:$D$27,E13:E15)+SUMPRODUCT(E$29:E$31,E18:E20)</f>
        <v>841.17935999999997</v>
      </c>
      <c r="F34" s="7">
        <f t="shared" ref="F34:AB34" si="5">SUMPRODUCT($D$25:$D$27,F13:F15)+SUMPRODUCT(F$29:F$31,F18:F20)</f>
        <v>841.17935999999997</v>
      </c>
      <c r="G34" s="7">
        <f t="shared" si="5"/>
        <v>841.17935999999997</v>
      </c>
      <c r="H34" s="7">
        <f t="shared" si="5"/>
        <v>841.17935999999997</v>
      </c>
      <c r="I34" s="7">
        <f t="shared" si="5"/>
        <v>841.17935999999997</v>
      </c>
      <c r="J34" s="7">
        <f t="shared" si="5"/>
        <v>620.78353057040613</v>
      </c>
      <c r="K34" s="7">
        <f t="shared" si="5"/>
        <v>606.84129040798121</v>
      </c>
      <c r="L34" s="7">
        <f t="shared" si="5"/>
        <v>579.03779906022567</v>
      </c>
      <c r="M34" s="7">
        <f t="shared" si="5"/>
        <v>551.23430771247024</v>
      </c>
      <c r="N34" s="7">
        <f t="shared" si="5"/>
        <v>523.4308163647147</v>
      </c>
      <c r="O34" s="7">
        <f t="shared" si="5"/>
        <v>495.62732501695928</v>
      </c>
      <c r="P34" s="7">
        <f t="shared" si="5"/>
        <v>467.82383366920391</v>
      </c>
      <c r="Q34" s="7">
        <f t="shared" si="5"/>
        <v>452.50487423595155</v>
      </c>
      <c r="R34" s="7">
        <f t="shared" si="5"/>
        <v>437.18591480269924</v>
      </c>
      <c r="S34" s="7">
        <f t="shared" si="5"/>
        <v>421.86695536944694</v>
      </c>
      <c r="T34" s="7">
        <f t="shared" si="5"/>
        <v>406.54799593619458</v>
      </c>
      <c r="U34" s="7">
        <f t="shared" si="5"/>
        <v>391.22903650294234</v>
      </c>
      <c r="V34" s="7">
        <f t="shared" si="5"/>
        <v>391.22903650294234</v>
      </c>
      <c r="W34" s="7">
        <f t="shared" si="5"/>
        <v>391.22903650294234</v>
      </c>
      <c r="X34" s="7">
        <f t="shared" si="5"/>
        <v>391.22903650294234</v>
      </c>
      <c r="Y34" s="7">
        <f t="shared" si="5"/>
        <v>391.22903650294234</v>
      </c>
      <c r="Z34" s="7">
        <f t="shared" si="5"/>
        <v>391.22903650294234</v>
      </c>
      <c r="AA34" s="7">
        <f t="shared" si="5"/>
        <v>391.22903650294234</v>
      </c>
      <c r="AB34" s="7">
        <f t="shared" si="5"/>
        <v>0</v>
      </c>
    </row>
    <row r="35" spans="1:28">
      <c r="A35" t="s">
        <v>249</v>
      </c>
      <c r="B35" s="13" t="s">
        <v>400</v>
      </c>
      <c r="C35" s="7">
        <f t="shared" si="4"/>
        <v>4589.9889638478626</v>
      </c>
      <c r="E35" s="7">
        <f>E33-E34</f>
        <v>0</v>
      </c>
      <c r="F35" s="7">
        <f t="shared" ref="F35:AB35" si="6">F33-F34</f>
        <v>0</v>
      </c>
      <c r="G35" s="7">
        <f t="shared" si="6"/>
        <v>0</v>
      </c>
      <c r="H35" s="7">
        <f t="shared" si="6"/>
        <v>0</v>
      </c>
      <c r="I35" s="7">
        <f t="shared" si="6"/>
        <v>0</v>
      </c>
      <c r="J35" s="7">
        <f t="shared" si="6"/>
        <v>220.39582942959385</v>
      </c>
      <c r="K35" s="7">
        <f t="shared" si="6"/>
        <v>234.33806959201877</v>
      </c>
      <c r="L35" s="7">
        <f t="shared" si="6"/>
        <v>262.14156093977431</v>
      </c>
      <c r="M35" s="7">
        <f t="shared" si="6"/>
        <v>289.94505228752973</v>
      </c>
      <c r="N35" s="7">
        <f t="shared" si="6"/>
        <v>317.74854363528527</v>
      </c>
      <c r="O35" s="7">
        <f t="shared" si="6"/>
        <v>345.5520349830407</v>
      </c>
      <c r="P35" s="7">
        <f t="shared" si="6"/>
        <v>373.35552633079607</v>
      </c>
      <c r="Q35" s="7">
        <f t="shared" si="6"/>
        <v>388.67448576404843</v>
      </c>
      <c r="R35" s="7">
        <f t="shared" si="6"/>
        <v>403.99344519730073</v>
      </c>
      <c r="S35" s="7">
        <f t="shared" si="6"/>
        <v>419.31240463055303</v>
      </c>
      <c r="T35" s="7">
        <f t="shared" si="6"/>
        <v>434.63136406380539</v>
      </c>
      <c r="U35" s="7">
        <f t="shared" si="6"/>
        <v>449.95032349705764</v>
      </c>
      <c r="V35" s="7">
        <f t="shared" si="6"/>
        <v>449.95032349705764</v>
      </c>
      <c r="W35" s="7">
        <f t="shared" si="6"/>
        <v>449.95032349705764</v>
      </c>
      <c r="X35" s="7">
        <f t="shared" si="6"/>
        <v>449.95032349705764</v>
      </c>
      <c r="Y35" s="7">
        <f t="shared" si="6"/>
        <v>449.95032349705764</v>
      </c>
      <c r="Z35" s="7">
        <f t="shared" si="6"/>
        <v>449.95032349705764</v>
      </c>
      <c r="AA35" s="7">
        <f t="shared" si="6"/>
        <v>449.95032349705764</v>
      </c>
      <c r="AB35" s="7">
        <f t="shared" si="6"/>
        <v>0</v>
      </c>
    </row>
    <row r="36" spans="1:28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t="s">
        <v>246</v>
      </c>
      <c r="B37" s="13" t="s">
        <v>232</v>
      </c>
      <c r="E37" s="7">
        <f>Założenia!E173*Wrażliwość!$B$7</f>
        <v>839.22883968238784</v>
      </c>
      <c r="F37" s="7">
        <f>Założenia!F173*Wrażliwość!$B$7</f>
        <v>982.26930939558144</v>
      </c>
      <c r="G37" s="7">
        <f>Założenia!G173*Wrażliwość!$B$7</f>
        <v>1095.097540880209</v>
      </c>
      <c r="H37" s="7">
        <f>Założenia!H173*Wrażliwość!$B$7</f>
        <v>1207.9257723648366</v>
      </c>
      <c r="I37" s="7">
        <f>Założenia!I173*Wrażliwość!$B$7</f>
        <v>1320.7540038494642</v>
      </c>
      <c r="J37" s="7">
        <f>Założenia!J173*Wrażliwość!$B$7</f>
        <v>1433.5822353340918</v>
      </c>
      <c r="K37" s="7">
        <f>Założenia!K173*Wrażliwość!$B$7</f>
        <v>1546.4104668187192</v>
      </c>
      <c r="L37" s="7">
        <f>Założenia!L173*Wrażliwość!$B$7</f>
        <v>1659.2386983033468</v>
      </c>
      <c r="M37" s="7">
        <f>Założenia!M173*Wrażliwość!$B$7</f>
        <v>1845.0734325133217</v>
      </c>
      <c r="N37" s="7">
        <f>Założenia!N173*Wrażliwość!$B$7</f>
        <v>2030.9081667232967</v>
      </c>
      <c r="O37" s="7">
        <f>Założenia!O173*Wrażliwość!$B$7</f>
        <v>2216.7429009332714</v>
      </c>
      <c r="P37" s="7">
        <f>Założenia!P173*Wrażliwość!$B$7</f>
        <v>2402.5776351432464</v>
      </c>
      <c r="Q37" s="7">
        <f>Założenia!Q173*Wrażliwość!$B$7</f>
        <v>2588.412369353221</v>
      </c>
      <c r="R37" s="7">
        <f>Założenia!R173*Wrażliwość!$B$7</f>
        <v>2767.610148769983</v>
      </c>
      <c r="S37" s="7">
        <f>Założenia!S173*Wrażliwość!$B$7</f>
        <v>2946.8079281867444</v>
      </c>
      <c r="T37" s="7">
        <f>Założenia!T173*Wrażliwość!$B$7</f>
        <v>3126.0057076035055</v>
      </c>
      <c r="U37" s="7">
        <f>Założenia!U173*Wrażliwość!$B$7</f>
        <v>3305.2034870202669</v>
      </c>
      <c r="V37" s="7">
        <f>Założenia!V173*Wrażliwość!$B$7</f>
        <v>3484.4012664370284</v>
      </c>
      <c r="W37" s="7">
        <f>Założenia!W173*Wrażliwość!$B$7</f>
        <v>3663.5990458537899</v>
      </c>
      <c r="X37" s="7">
        <f>Założenia!X173*Wrażliwość!$B$7</f>
        <v>3842.7968252705518</v>
      </c>
      <c r="Y37" s="7">
        <f>Założenia!Y173*Wrażliwość!$B$7</f>
        <v>4021.9946046873133</v>
      </c>
      <c r="Z37" s="7">
        <f>Założenia!Z173*Wrażliwość!$B$7</f>
        <v>4201.1923841040743</v>
      </c>
      <c r="AA37" s="7">
        <f>Założenia!AA173*Wrażliwość!$B$7</f>
        <v>4380.3901635208358</v>
      </c>
      <c r="AB37" s="7">
        <f>Założenia!AB173*Wrażliwość!$B$7</f>
        <v>4566.2248977308109</v>
      </c>
    </row>
    <row r="38" spans="1:28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t="s">
        <v>247</v>
      </c>
      <c r="B39" s="13" t="s">
        <v>17</v>
      </c>
      <c r="E39" s="7">
        <f>E33*E$37</f>
        <v>705941.97825757356</v>
      </c>
      <c r="F39" s="7">
        <f t="shared" ref="F39:AB41" si="7">F33*F$37</f>
        <v>826264.66902501718</v>
      </c>
      <c r="G39" s="7">
        <f t="shared" si="7"/>
        <v>921173.44857518794</v>
      </c>
      <c r="H39" s="7">
        <f t="shared" si="7"/>
        <v>1016082.2281253589</v>
      </c>
      <c r="I39" s="7">
        <f t="shared" si="7"/>
        <v>1110991.0076755297</v>
      </c>
      <c r="J39" s="7">
        <f t="shared" si="7"/>
        <v>1205899.7872257007</v>
      </c>
      <c r="K39" s="7">
        <f t="shared" si="7"/>
        <v>1300808.5667758714</v>
      </c>
      <c r="L39" s="7">
        <f t="shared" si="7"/>
        <v>1395717.3463260424</v>
      </c>
      <c r="M39" s="7">
        <f t="shared" si="7"/>
        <v>1552037.689114559</v>
      </c>
      <c r="N39" s="7">
        <f t="shared" si="7"/>
        <v>1708358.031903076</v>
      </c>
      <c r="O39" s="7">
        <f t="shared" si="7"/>
        <v>1864678.3746915925</v>
      </c>
      <c r="P39" s="7">
        <f t="shared" si="7"/>
        <v>2020998.7174801095</v>
      </c>
      <c r="Q39" s="7">
        <f t="shared" si="7"/>
        <v>2177319.0602686261</v>
      </c>
      <c r="R39" s="7">
        <f t="shared" si="7"/>
        <v>2328056.5336718392</v>
      </c>
      <c r="S39" s="7">
        <f t="shared" si="7"/>
        <v>2478794.0070750518</v>
      </c>
      <c r="T39" s="7">
        <f t="shared" si="7"/>
        <v>2629531.4804782639</v>
      </c>
      <c r="U39" s="7">
        <f t="shared" si="7"/>
        <v>2780268.9538814765</v>
      </c>
      <c r="V39" s="7">
        <f t="shared" si="7"/>
        <v>2931006.4272846892</v>
      </c>
      <c r="W39" s="7">
        <f t="shared" si="7"/>
        <v>3081743.9006879018</v>
      </c>
      <c r="X39" s="7">
        <f t="shared" si="7"/>
        <v>3232481.3740911144</v>
      </c>
      <c r="Y39" s="7">
        <f t="shared" si="7"/>
        <v>3383218.847494327</v>
      </c>
      <c r="Z39" s="7">
        <f t="shared" si="7"/>
        <v>3533956.3208975391</v>
      </c>
      <c r="AA39" s="7">
        <f t="shared" si="7"/>
        <v>3684693.7943007518</v>
      </c>
      <c r="AB39" s="7">
        <f t="shared" si="7"/>
        <v>0</v>
      </c>
    </row>
    <row r="40" spans="1:28">
      <c r="A40" t="s">
        <v>248</v>
      </c>
      <c r="B40" s="13" t="s">
        <v>17</v>
      </c>
      <c r="E40" s="7">
        <f t="shared" ref="E40:T41" si="8">E34*E$37</f>
        <v>705941.97825757356</v>
      </c>
      <c r="F40" s="7">
        <f t="shared" si="8"/>
        <v>826264.66902501718</v>
      </c>
      <c r="G40" s="7">
        <f t="shared" si="8"/>
        <v>921173.44857518794</v>
      </c>
      <c r="H40" s="7">
        <f t="shared" si="8"/>
        <v>1016082.2281253589</v>
      </c>
      <c r="I40" s="7">
        <f t="shared" si="8"/>
        <v>1110991.0076755297</v>
      </c>
      <c r="J40" s="7">
        <f t="shared" si="8"/>
        <v>889944.24141371239</v>
      </c>
      <c r="K40" s="7">
        <f t="shared" si="8"/>
        <v>938425.72318468022</v>
      </c>
      <c r="L40" s="7">
        <f t="shared" si="8"/>
        <v>960761.92398112372</v>
      </c>
      <c r="M40" s="7">
        <f t="shared" si="8"/>
        <v>1017067.776250152</v>
      </c>
      <c r="N40" s="7">
        <f t="shared" si="8"/>
        <v>1063039.9196697413</v>
      </c>
      <c r="O40" s="7">
        <f t="shared" si="8"/>
        <v>1098678.3542398917</v>
      </c>
      <c r="P40" s="7">
        <f t="shared" si="8"/>
        <v>1123983.0799606035</v>
      </c>
      <c r="Q40" s="7">
        <f t="shared" si="8"/>
        <v>1171269.2136649606</v>
      </c>
      <c r="R40" s="7">
        <f t="shared" si="8"/>
        <v>1209960.1747072395</v>
      </c>
      <c r="S40" s="7">
        <f t="shared" si="8"/>
        <v>1243160.8887226898</v>
      </c>
      <c r="T40" s="7">
        <f t="shared" si="8"/>
        <v>1270871.3557113111</v>
      </c>
      <c r="U40" s="7">
        <f t="shared" si="7"/>
        <v>1293091.5756731043</v>
      </c>
      <c r="V40" s="7">
        <f t="shared" si="7"/>
        <v>1363198.9502577907</v>
      </c>
      <c r="W40" s="7">
        <f t="shared" si="7"/>
        <v>1433306.324842477</v>
      </c>
      <c r="X40" s="7">
        <f t="shared" si="7"/>
        <v>1503413.6994271637</v>
      </c>
      <c r="Y40" s="7">
        <f t="shared" si="7"/>
        <v>1573521.0740118499</v>
      </c>
      <c r="Z40" s="7">
        <f t="shared" si="7"/>
        <v>1643628.4485965362</v>
      </c>
      <c r="AA40" s="7">
        <f t="shared" si="7"/>
        <v>1713735.8231812227</v>
      </c>
      <c r="AB40" s="7">
        <f t="shared" si="7"/>
        <v>0</v>
      </c>
    </row>
    <row r="41" spans="1:28">
      <c r="A41" t="s">
        <v>249</v>
      </c>
      <c r="B41" s="13" t="s">
        <v>17</v>
      </c>
      <c r="E41" s="7">
        <f t="shared" si="8"/>
        <v>0</v>
      </c>
      <c r="F41" s="7">
        <f t="shared" si="7"/>
        <v>0</v>
      </c>
      <c r="G41" s="7">
        <f t="shared" si="7"/>
        <v>0</v>
      </c>
      <c r="H41" s="7">
        <f t="shared" si="7"/>
        <v>0</v>
      </c>
      <c r="I41" s="7">
        <f t="shared" si="7"/>
        <v>0</v>
      </c>
      <c r="J41" s="7">
        <f t="shared" si="7"/>
        <v>315955.54581198836</v>
      </c>
      <c r="K41" s="7">
        <f t="shared" si="7"/>
        <v>362382.84359119128</v>
      </c>
      <c r="L41" s="7">
        <f t="shared" si="7"/>
        <v>434955.4223449186</v>
      </c>
      <c r="M41" s="7">
        <f t="shared" si="7"/>
        <v>534969.91286440706</v>
      </c>
      <c r="N41" s="7">
        <f t="shared" si="7"/>
        <v>645318.11223333469</v>
      </c>
      <c r="O41" s="7">
        <f t="shared" si="7"/>
        <v>766000.0204517009</v>
      </c>
      <c r="P41" s="7">
        <f t="shared" si="7"/>
        <v>897015.63751950604</v>
      </c>
      <c r="Q41" s="7">
        <f t="shared" si="7"/>
        <v>1006049.8466036654</v>
      </c>
      <c r="R41" s="7">
        <f t="shared" si="7"/>
        <v>1118096.3589645994</v>
      </c>
      <c r="S41" s="7">
        <f t="shared" si="7"/>
        <v>1235633.118352362</v>
      </c>
      <c r="T41" s="7">
        <f t="shared" si="7"/>
        <v>1358660.1247669528</v>
      </c>
      <c r="U41" s="7">
        <f t="shared" si="7"/>
        <v>1487177.378208372</v>
      </c>
      <c r="V41" s="7">
        <f t="shared" si="7"/>
        <v>1567807.4770268982</v>
      </c>
      <c r="W41" s="7">
        <f t="shared" si="7"/>
        <v>1648437.5758454246</v>
      </c>
      <c r="X41" s="7">
        <f t="shared" si="7"/>
        <v>1729067.6746639509</v>
      </c>
      <c r="Y41" s="7">
        <f t="shared" si="7"/>
        <v>1809697.7734824771</v>
      </c>
      <c r="Z41" s="7">
        <f t="shared" si="7"/>
        <v>1890327.872301003</v>
      </c>
      <c r="AA41" s="7">
        <f t="shared" si="7"/>
        <v>1970957.9711195293</v>
      </c>
      <c r="AB41" s="7">
        <f t="shared" si="7"/>
        <v>0</v>
      </c>
    </row>
    <row r="42" spans="1:28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4" t="s">
        <v>250</v>
      </c>
    </row>
    <row r="45" spans="1:28">
      <c r="A45" t="s">
        <v>362</v>
      </c>
      <c r="D45" s="30" t="s">
        <v>365</v>
      </c>
      <c r="E45" t="s">
        <v>366</v>
      </c>
      <c r="F45" t="s">
        <v>367</v>
      </c>
    </row>
    <row r="46" spans="1:28">
      <c r="A46" s="38" t="str">
        <f>Założenia!$D$34</f>
        <v>Typ 1</v>
      </c>
      <c r="B46" s="13" t="s">
        <v>364</v>
      </c>
      <c r="D46" s="30">
        <f>Emisja!C69/(10^6)</f>
        <v>4.3450000000000008E-6</v>
      </c>
      <c r="E46" s="30">
        <f>Emisja!D69/(10^6)</f>
        <v>2.7650000000000001E-5</v>
      </c>
      <c r="F46" s="30">
        <f>Emisja!E69/(10^6)</f>
        <v>5.9250000000000004E-7</v>
      </c>
    </row>
    <row r="47" spans="1:28">
      <c r="A47" s="38" t="str">
        <f>Założenia!$E$34</f>
        <v>Typ 2</v>
      </c>
      <c r="B47" s="13" t="s">
        <v>364</v>
      </c>
      <c r="D47" s="30">
        <f>Emisja!C78/(10^6)</f>
        <v>2.6070000000000002E-6</v>
      </c>
      <c r="E47" s="30">
        <f>Emisja!D78/(10^6)</f>
        <v>1.9749999999999999E-5</v>
      </c>
      <c r="F47" s="30">
        <f>Emisja!E78/(10^6)</f>
        <v>3.9500000000000003E-7</v>
      </c>
    </row>
    <row r="48" spans="1:28">
      <c r="A48" s="38" t="str">
        <f>Założenia!$F$34</f>
        <v>Typ 3</v>
      </c>
      <c r="B48" s="13" t="s">
        <v>364</v>
      </c>
      <c r="D48" s="30">
        <f>Emisja!C87/(10^6)</f>
        <v>1.8170000000000001E-6</v>
      </c>
      <c r="E48" s="30">
        <f>Emisja!D87/(10^6)</f>
        <v>1.3825000000000001E-5</v>
      </c>
      <c r="F48" s="30">
        <f>Emisja!E87/(10^6)</f>
        <v>7.9000000000000006E-8</v>
      </c>
    </row>
    <row r="49" spans="1:28">
      <c r="A49" t="s">
        <v>363</v>
      </c>
      <c r="D49" s="30" t="s">
        <v>365</v>
      </c>
      <c r="E49" t="s">
        <v>366</v>
      </c>
      <c r="F49" t="s">
        <v>367</v>
      </c>
    </row>
    <row r="50" spans="1:28">
      <c r="A50" s="38" t="str">
        <f>Założenia!$D$35</f>
        <v>Typ A</v>
      </c>
      <c r="B50" s="13" t="s">
        <v>364</v>
      </c>
      <c r="D50" s="30">
        <f>Emisja!D97/(10^6)</f>
        <v>0</v>
      </c>
      <c r="E50" s="30">
        <f>Emisja!D98/(10^6)</f>
        <v>0</v>
      </c>
      <c r="F50" s="30">
        <f>Emisja!D99/(10^6)</f>
        <v>0</v>
      </c>
    </row>
    <row r="51" spans="1:28">
      <c r="A51" s="38" t="str">
        <f>Założenia!$E$35</f>
        <v>Typ B</v>
      </c>
      <c r="B51" s="13" t="s">
        <v>364</v>
      </c>
      <c r="D51" s="30">
        <f>Emisja!D109/(10^6)</f>
        <v>0</v>
      </c>
      <c r="E51" s="30">
        <f>Emisja!D110/(10^6)</f>
        <v>0</v>
      </c>
      <c r="F51" s="30">
        <f>Emisja!D111/(10^6)</f>
        <v>0</v>
      </c>
    </row>
    <row r="52" spans="1:28">
      <c r="A52" s="38" t="str">
        <f>Założenia!$F$35</f>
        <v>Typ C</v>
      </c>
      <c r="B52" s="13" t="s">
        <v>364</v>
      </c>
      <c r="D52" s="30">
        <f>Emisja!D121/(10^6)</f>
        <v>0</v>
      </c>
      <c r="E52" s="30">
        <f>Emisja!D122/(10^6)</f>
        <v>0</v>
      </c>
      <c r="F52" s="30">
        <f>Emisja!D123/(10^6)</f>
        <v>0</v>
      </c>
    </row>
    <row r="54" spans="1:28">
      <c r="A54" t="s">
        <v>251</v>
      </c>
      <c r="B54" s="13" t="s">
        <v>232</v>
      </c>
      <c r="E54" s="7">
        <f>Założenia!E174*Wrażliwość!$B$7</f>
        <v>78946.850842901695</v>
      </c>
      <c r="F54" s="7">
        <f>Założenia!F174*Wrażliwość!$B$7</f>
        <v>83693.901444344796</v>
      </c>
      <c r="G54" s="7">
        <f>Założenia!G174*Wrażliwość!$B$7</f>
        <v>86393.677191647294</v>
      </c>
      <c r="H54" s="7">
        <f>Założenia!H174*Wrażliwość!$B$7</f>
        <v>89049.418282754166</v>
      </c>
      <c r="I54" s="7">
        <f>Założenia!I174*Wrażliwość!$B$7</f>
        <v>91253.615770011791</v>
      </c>
      <c r="J54" s="7">
        <f>Założenia!J174*Wrażliwość!$B$7</f>
        <v>93228.272206482317</v>
      </c>
      <c r="K54" s="7">
        <f>Założenia!K174*Wrażliwość!$B$7</f>
        <v>95333.674773029488</v>
      </c>
      <c r="L54" s="7">
        <f>Założenia!L174*Wrażliwość!$B$7</f>
        <v>97575.719436306419</v>
      </c>
      <c r="M54" s="7">
        <f>Założenia!M174*Wrażliwość!$B$7</f>
        <v>99758.124380399648</v>
      </c>
      <c r="N54" s="7">
        <f>Założenia!N174*Wrażliwość!$B$7</f>
        <v>101942.13723931342</v>
      </c>
      <c r="O54" s="7">
        <f>Założenia!O174*Wrażliwość!$B$7</f>
        <v>103957.13353884641</v>
      </c>
      <c r="P54" s="7">
        <f>Założenia!P174*Wrażliwość!$B$7</f>
        <v>105945.76948424417</v>
      </c>
      <c r="Q54" s="7">
        <f>Założenia!Q174*Wrażliwość!$B$7</f>
        <v>107989.57586863804</v>
      </c>
      <c r="R54" s="7">
        <f>Założenia!R174*Wrażliwość!$B$7</f>
        <v>110001.20760586615</v>
      </c>
      <c r="S54" s="7">
        <f>Założenia!S174*Wrażliwość!$B$7</f>
        <v>111881.61784028549</v>
      </c>
      <c r="T54" s="7">
        <f>Założenia!T174*Wrażliwość!$B$7</f>
        <v>113716.97748394778</v>
      </c>
      <c r="U54" s="7">
        <f>Założenia!U174*Wrażliwość!$B$7</f>
        <v>115410.22865109949</v>
      </c>
      <c r="V54" s="7">
        <f>Założenia!V174*Wrażliwość!$B$7</f>
        <v>116951.9879597914</v>
      </c>
      <c r="W54" s="7">
        <f>Założenia!W174*Wrażliwość!$B$7</f>
        <v>118334.41124461702</v>
      </c>
      <c r="X54" s="7">
        <f>Założenia!X174*Wrażliwość!$B$7</f>
        <v>119645.38937535715</v>
      </c>
      <c r="Y54" s="7">
        <f>Założenia!Y174*Wrażliwość!$B$7</f>
        <v>120779.37512917386</v>
      </c>
      <c r="Z54" s="7">
        <f>Założenia!Z174*Wrażliwość!$B$7</f>
        <v>121931.11253702722</v>
      </c>
      <c r="AA54" s="7">
        <f>Założenia!AA174*Wrażliwość!$B$7</f>
        <v>123108.11783101532</v>
      </c>
      <c r="AB54" s="7">
        <f>Założenia!AB174*Wrażliwość!$B$7</f>
        <v>124303.05244147012</v>
      </c>
    </row>
    <row r="55" spans="1:28">
      <c r="A55" t="s">
        <v>396</v>
      </c>
      <c r="B55" s="13" t="s">
        <v>232</v>
      </c>
      <c r="E55" s="7">
        <f>Założenia!E175*Wrażliwość!$B$7</f>
        <v>3759.3738496619858</v>
      </c>
      <c r="F55" s="7">
        <f>Założenia!F175*Wrażliwość!$B$7</f>
        <v>3985.4238783021333</v>
      </c>
      <c r="G55" s="7">
        <f>Założenia!G175*Wrażliwość!$B$7</f>
        <v>4113.9846281736809</v>
      </c>
      <c r="H55" s="7">
        <f>Założenia!H175*Wrażliwość!$B$7</f>
        <v>4240.4484896549611</v>
      </c>
      <c r="I55" s="7">
        <f>Założenia!I175*Wrażliwość!$B$7</f>
        <v>4345.4102747624665</v>
      </c>
      <c r="J55" s="7">
        <f>Założenia!J175*Wrażliwość!$B$7</f>
        <v>4439.4415336420152</v>
      </c>
      <c r="K55" s="7">
        <f>Założenia!K175*Wrażliwość!$B$7</f>
        <v>4539.6987987156899</v>
      </c>
      <c r="L55" s="7">
        <f>Założenia!L175*Wrażliwość!$B$7</f>
        <v>4646.4628303003055</v>
      </c>
      <c r="M55" s="7">
        <f>Założenia!M175*Wrażliwość!$B$7</f>
        <v>4750.3868752571261</v>
      </c>
      <c r="N55" s="7">
        <f>Założenia!N175*Wrażliwość!$B$7</f>
        <v>4854.387487586353</v>
      </c>
      <c r="O55" s="7">
        <f>Założenia!O175*Wrażliwość!$B$7</f>
        <v>4950.3396923260188</v>
      </c>
      <c r="P55" s="7">
        <f>Założenia!P175*Wrażliwość!$B$7</f>
        <v>5045.0366421068647</v>
      </c>
      <c r="Q55" s="7">
        <f>Założenia!Q175*Wrażliwość!$B$7</f>
        <v>5142.3607556494298</v>
      </c>
      <c r="R55" s="7">
        <f>Założenia!R175*Wrażliwość!$B$7</f>
        <v>5238.152743136483</v>
      </c>
      <c r="S55" s="7">
        <f>Założenia!S175*Wrażliwość!$B$7</f>
        <v>5327.696087632642</v>
      </c>
      <c r="T55" s="7">
        <f>Założenia!T175*Wrażliwość!$B$7</f>
        <v>5415.0941659022747</v>
      </c>
      <c r="U55" s="7">
        <f>Założenia!U175*Wrażliwość!$B$7</f>
        <v>5495.7251738618797</v>
      </c>
      <c r="V55" s="7">
        <f>Założenia!V175*Wrażliwość!$B$7</f>
        <v>5569.1422837995897</v>
      </c>
      <c r="W55" s="7">
        <f>Założenia!W175*Wrażliwość!$B$7</f>
        <v>5634.9719640293815</v>
      </c>
      <c r="X55" s="7">
        <f>Założenia!X175*Wrażliwość!$B$7</f>
        <v>5697.3994940646253</v>
      </c>
      <c r="Y55" s="7">
        <f>Założenia!Y175*Wrażliwość!$B$7</f>
        <v>5751.3988156749447</v>
      </c>
      <c r="Z55" s="7">
        <f>Założenia!Z175*Wrażliwość!$B$7</f>
        <v>5806.2434541441526</v>
      </c>
      <c r="AA55" s="7">
        <f>Założenia!AA175*Wrażliwość!$B$7</f>
        <v>5862.2913252864428</v>
      </c>
      <c r="AB55" s="7">
        <f>Założenia!AB175*Wrażliwość!$B$7</f>
        <v>5919.1929734033383</v>
      </c>
    </row>
    <row r="56" spans="1:28">
      <c r="A56" t="s">
        <v>252</v>
      </c>
      <c r="B56" s="13" t="s">
        <v>232</v>
      </c>
      <c r="E56" s="7">
        <f>Założenia!E176*Wrażliwość!$B$7</f>
        <v>488718.60045605816</v>
      </c>
      <c r="F56" s="7">
        <f>Założenia!F176*Wrażliwość!$B$7</f>
        <v>518105.10417927732</v>
      </c>
      <c r="G56" s="7">
        <f>Założenia!G176*Wrażliwość!$B$7</f>
        <v>534818.00166257855</v>
      </c>
      <c r="H56" s="7">
        <f>Założenia!H176*Wrażliwość!$B$7</f>
        <v>551258.30365514487</v>
      </c>
      <c r="I56" s="7">
        <f>Założenia!I176*Wrażliwość!$B$7</f>
        <v>564903.33571912057</v>
      </c>
      <c r="J56" s="7">
        <f>Założenia!J176*Wrażliwość!$B$7</f>
        <v>577127.39937346196</v>
      </c>
      <c r="K56" s="7">
        <f>Założenia!K176*Wrażliwość!$B$7</f>
        <v>590160.84383303963</v>
      </c>
      <c r="L56" s="7">
        <f>Założenia!L176*Wrażliwość!$B$7</f>
        <v>604040.16793903965</v>
      </c>
      <c r="M56" s="7">
        <f>Założenia!M176*Wrażliwość!$B$7</f>
        <v>617550.29378342628</v>
      </c>
      <c r="N56" s="7">
        <f>Założenia!N176*Wrażliwość!$B$7</f>
        <v>631070.37338622578</v>
      </c>
      <c r="O56" s="7">
        <f>Założenia!O176*Wrażliwość!$B$7</f>
        <v>643544.16000238236</v>
      </c>
      <c r="P56" s="7">
        <f>Założenia!P176*Wrażliwość!$B$7</f>
        <v>655854.76347389235</v>
      </c>
      <c r="Q56" s="7">
        <f>Założenia!Q176*Wrażliwość!$B$7</f>
        <v>668506.89823442581</v>
      </c>
      <c r="R56" s="7">
        <f>Założenia!R176*Wrażliwość!$B$7</f>
        <v>680959.85660774261</v>
      </c>
      <c r="S56" s="7">
        <f>Założenia!S176*Wrażliwość!$B$7</f>
        <v>692600.4913922433</v>
      </c>
      <c r="T56" s="7">
        <f>Założenia!T176*Wrażliwość!$B$7</f>
        <v>703962.24156729551</v>
      </c>
      <c r="U56" s="7">
        <f>Założenia!U176*Wrażliwość!$B$7</f>
        <v>714444.27260204428</v>
      </c>
      <c r="V56" s="7">
        <f>Założenia!V176*Wrażliwość!$B$7</f>
        <v>723988.49689394655</v>
      </c>
      <c r="W56" s="7">
        <f>Założenia!W176*Wrażliwość!$B$7</f>
        <v>732546.35532381944</v>
      </c>
      <c r="X56" s="7">
        <f>Założenia!X176*Wrażliwość!$B$7</f>
        <v>740661.93422840117</v>
      </c>
      <c r="Y56" s="7">
        <f>Założenia!Y176*Wrażliwość!$B$7</f>
        <v>747681.84603774268</v>
      </c>
      <c r="Z56" s="7">
        <f>Założenia!Z176*Wrażliwość!$B$7</f>
        <v>754811.64903873974</v>
      </c>
      <c r="AA56" s="7">
        <f>Założenia!AA176*Wrażliwość!$B$7</f>
        <v>762097.87228723743</v>
      </c>
      <c r="AB56" s="7">
        <f>Założenia!AB176*Wrażliwość!$B$7</f>
        <v>769495.08654243383</v>
      </c>
    </row>
    <row r="57" spans="1:28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t="s">
        <v>253</v>
      </c>
      <c r="B58" s="13" t="s">
        <v>17</v>
      </c>
      <c r="E58" s="7">
        <f t="shared" ref="E58:AB58" si="9">SUMPRODUCT($D$46:$D$48,E6:E8)*E$55+SUMPRODUCT(E6:E8,$E$46:$E$48)*E54+SUMPRODUCT(E6:E8,$F$46:$F$48)*E56</f>
        <v>1542164.9271099961</v>
      </c>
      <c r="F58" s="7">
        <f t="shared" si="9"/>
        <v>1634894.8443467161</v>
      </c>
      <c r="G58" s="7">
        <f t="shared" si="9"/>
        <v>1687632.8500315426</v>
      </c>
      <c r="H58" s="7">
        <f t="shared" si="9"/>
        <v>1739510.6731804328</v>
      </c>
      <c r="I58" s="7">
        <f t="shared" si="9"/>
        <v>1782567.9455222629</v>
      </c>
      <c r="J58" s="7">
        <f t="shared" si="9"/>
        <v>1821141.313134819</v>
      </c>
      <c r="K58" s="7">
        <f t="shared" si="9"/>
        <v>1862268.7040428801</v>
      </c>
      <c r="L58" s="7">
        <f t="shared" si="9"/>
        <v>1906065.2913393155</v>
      </c>
      <c r="M58" s="7">
        <f t="shared" si="9"/>
        <v>1948696.8634108778</v>
      </c>
      <c r="N58" s="7">
        <f t="shared" si="9"/>
        <v>1991359.8448396914</v>
      </c>
      <c r="O58" s="7">
        <f t="shared" si="9"/>
        <v>2030721.2200968228</v>
      </c>
      <c r="P58" s="7">
        <f t="shared" si="9"/>
        <v>2069567.6664723137</v>
      </c>
      <c r="Q58" s="7">
        <f t="shared" si="9"/>
        <v>2109491.8241830212</v>
      </c>
      <c r="R58" s="7">
        <f t="shared" si="9"/>
        <v>2148787.475349498</v>
      </c>
      <c r="S58" s="7">
        <f t="shared" si="9"/>
        <v>2185519.817186296</v>
      </c>
      <c r="T58" s="7">
        <f t="shared" si="9"/>
        <v>2221372.1310008322</v>
      </c>
      <c r="U58" s="7">
        <f t="shared" si="9"/>
        <v>2254448.46697737</v>
      </c>
      <c r="V58" s="7">
        <f t="shared" si="9"/>
        <v>2284565.528095379</v>
      </c>
      <c r="W58" s="7">
        <f t="shared" si="9"/>
        <v>2311570.0847245045</v>
      </c>
      <c r="X58" s="7">
        <f t="shared" si="9"/>
        <v>2337179.0161999194</v>
      </c>
      <c r="Y58" s="7">
        <f t="shared" si="9"/>
        <v>2359330.5401518815</v>
      </c>
      <c r="Z58" s="7">
        <f t="shared" si="9"/>
        <v>2381828.8287684405</v>
      </c>
      <c r="AA58" s="7">
        <f t="shared" si="9"/>
        <v>2404820.7057594964</v>
      </c>
      <c r="AB58" s="7">
        <f t="shared" si="9"/>
        <v>0</v>
      </c>
    </row>
    <row r="59" spans="1:28">
      <c r="A59" t="s">
        <v>254</v>
      </c>
      <c r="B59" s="13" t="s">
        <v>17</v>
      </c>
      <c r="E59" s="7">
        <f>E60+E61</f>
        <v>1542164.9271099961</v>
      </c>
      <c r="F59" s="7">
        <f t="shared" ref="F59:AB59" si="10">F60+F61</f>
        <v>1634894.8443467163</v>
      </c>
      <c r="G59" s="7">
        <f t="shared" si="10"/>
        <v>1687632.8500315426</v>
      </c>
      <c r="H59" s="7">
        <f t="shared" si="10"/>
        <v>1739510.6731804328</v>
      </c>
      <c r="I59" s="7">
        <f t="shared" si="10"/>
        <v>1782567.9455222629</v>
      </c>
      <c r="J59" s="7">
        <f t="shared" si="10"/>
        <v>0</v>
      </c>
      <c r="K59" s="7">
        <f t="shared" si="10"/>
        <v>0</v>
      </c>
      <c r="L59" s="7">
        <f t="shared" si="10"/>
        <v>0</v>
      </c>
      <c r="M59" s="7">
        <f t="shared" si="10"/>
        <v>0</v>
      </c>
      <c r="N59" s="7">
        <f t="shared" si="10"/>
        <v>0</v>
      </c>
      <c r="O59" s="7">
        <f t="shared" si="10"/>
        <v>0</v>
      </c>
      <c r="P59" s="7">
        <f t="shared" si="10"/>
        <v>0</v>
      </c>
      <c r="Q59" s="7">
        <f t="shared" si="10"/>
        <v>0</v>
      </c>
      <c r="R59" s="7">
        <f t="shared" si="10"/>
        <v>0</v>
      </c>
      <c r="S59" s="7">
        <f t="shared" si="10"/>
        <v>0</v>
      </c>
      <c r="T59" s="7">
        <f t="shared" si="10"/>
        <v>0</v>
      </c>
      <c r="U59" s="7">
        <f t="shared" si="10"/>
        <v>0</v>
      </c>
      <c r="V59" s="7">
        <f t="shared" si="10"/>
        <v>0</v>
      </c>
      <c r="W59" s="7">
        <f t="shared" si="10"/>
        <v>0</v>
      </c>
      <c r="X59" s="7">
        <f t="shared" si="10"/>
        <v>0</v>
      </c>
      <c r="Y59" s="7">
        <f t="shared" si="10"/>
        <v>0</v>
      </c>
      <c r="Z59" s="7">
        <f t="shared" si="10"/>
        <v>0</v>
      </c>
      <c r="AA59" s="7">
        <f t="shared" si="10"/>
        <v>0</v>
      </c>
      <c r="AB59" s="7">
        <f t="shared" si="10"/>
        <v>0</v>
      </c>
    </row>
    <row r="60" spans="1:28">
      <c r="A60" s="3" t="s">
        <v>368</v>
      </c>
      <c r="B60" s="13" t="s">
        <v>17</v>
      </c>
      <c r="E60" s="7">
        <f t="shared" ref="E60:AB60" si="11">SUMPRODUCT($E$46:$E$48,E13:E15)*E54+SUMPRODUCT($F$46:$F$48,E13:E15)*E56+SUMPRODUCT($D$46:$D$48,E13:E15)*E55</f>
        <v>1542164.9271099961</v>
      </c>
      <c r="F60" s="7">
        <f t="shared" si="11"/>
        <v>1634894.8443467163</v>
      </c>
      <c r="G60" s="7">
        <f t="shared" si="11"/>
        <v>1687632.8500315426</v>
      </c>
      <c r="H60" s="7">
        <f t="shared" si="11"/>
        <v>1739510.6731804328</v>
      </c>
      <c r="I60" s="7">
        <f t="shared" si="11"/>
        <v>1782567.9455222629</v>
      </c>
      <c r="J60" s="7">
        <f t="shared" si="11"/>
        <v>0</v>
      </c>
      <c r="K60" s="7">
        <f t="shared" si="11"/>
        <v>0</v>
      </c>
      <c r="L60" s="7">
        <f t="shared" si="11"/>
        <v>0</v>
      </c>
      <c r="M60" s="7">
        <f t="shared" si="11"/>
        <v>0</v>
      </c>
      <c r="N60" s="7">
        <f t="shared" si="11"/>
        <v>0</v>
      </c>
      <c r="O60" s="7">
        <f t="shared" si="11"/>
        <v>0</v>
      </c>
      <c r="P60" s="7">
        <f t="shared" si="11"/>
        <v>0</v>
      </c>
      <c r="Q60" s="7">
        <f t="shared" si="11"/>
        <v>0</v>
      </c>
      <c r="R60" s="7">
        <f t="shared" si="11"/>
        <v>0</v>
      </c>
      <c r="S60" s="7">
        <f t="shared" si="11"/>
        <v>0</v>
      </c>
      <c r="T60" s="7">
        <f t="shared" si="11"/>
        <v>0</v>
      </c>
      <c r="U60" s="7">
        <f t="shared" si="11"/>
        <v>0</v>
      </c>
      <c r="V60" s="7">
        <f t="shared" si="11"/>
        <v>0</v>
      </c>
      <c r="W60" s="7">
        <f t="shared" si="11"/>
        <v>0</v>
      </c>
      <c r="X60" s="7">
        <f t="shared" si="11"/>
        <v>0</v>
      </c>
      <c r="Y60" s="7">
        <f t="shared" si="11"/>
        <v>0</v>
      </c>
      <c r="Z60" s="7">
        <f t="shared" si="11"/>
        <v>0</v>
      </c>
      <c r="AA60" s="7">
        <f t="shared" si="11"/>
        <v>0</v>
      </c>
      <c r="AB60" s="7">
        <f t="shared" si="11"/>
        <v>0</v>
      </c>
    </row>
    <row r="61" spans="1:28">
      <c r="A61" s="3" t="s">
        <v>369</v>
      </c>
      <c r="E61" s="7">
        <f t="shared" ref="E61:AB61" si="12">SUMPRODUCT($E$50:$E$52,E18:E20)*E54+SUMPRODUCT($F$50:$F$52,E18:E20)*E56+SUMPRODUCT($D$50:$D$52,E18:E20)*E55</f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  <c r="I61" s="7">
        <f t="shared" si="12"/>
        <v>0</v>
      </c>
      <c r="J61" s="7">
        <f t="shared" si="12"/>
        <v>0</v>
      </c>
      <c r="K61" s="7">
        <f t="shared" si="12"/>
        <v>0</v>
      </c>
      <c r="L61" s="7">
        <f t="shared" si="12"/>
        <v>0</v>
      </c>
      <c r="M61" s="7">
        <f t="shared" si="12"/>
        <v>0</v>
      </c>
      <c r="N61" s="7">
        <f t="shared" si="12"/>
        <v>0</v>
      </c>
      <c r="O61" s="7">
        <f t="shared" si="12"/>
        <v>0</v>
      </c>
      <c r="P61" s="7">
        <f t="shared" si="12"/>
        <v>0</v>
      </c>
      <c r="Q61" s="7">
        <f t="shared" si="12"/>
        <v>0</v>
      </c>
      <c r="R61" s="7">
        <f t="shared" si="12"/>
        <v>0</v>
      </c>
      <c r="S61" s="7">
        <f t="shared" si="12"/>
        <v>0</v>
      </c>
      <c r="T61" s="7">
        <f t="shared" si="12"/>
        <v>0</v>
      </c>
      <c r="U61" s="7">
        <f t="shared" si="12"/>
        <v>0</v>
      </c>
      <c r="V61" s="7">
        <f t="shared" si="12"/>
        <v>0</v>
      </c>
      <c r="W61" s="7">
        <f t="shared" si="12"/>
        <v>0</v>
      </c>
      <c r="X61" s="7">
        <f t="shared" si="12"/>
        <v>0</v>
      </c>
      <c r="Y61" s="7">
        <f t="shared" si="12"/>
        <v>0</v>
      </c>
      <c r="Z61" s="7">
        <f t="shared" si="12"/>
        <v>0</v>
      </c>
      <c r="AA61" s="7">
        <f t="shared" si="12"/>
        <v>0</v>
      </c>
      <c r="AB61" s="7">
        <f t="shared" si="12"/>
        <v>0</v>
      </c>
    </row>
    <row r="62" spans="1:28">
      <c r="A62" t="s">
        <v>255</v>
      </c>
      <c r="B62" s="13" t="s">
        <v>17</v>
      </c>
      <c r="E62" s="7">
        <f>E58-E59</f>
        <v>0</v>
      </c>
      <c r="F62" s="7">
        <f t="shared" ref="F62:AB62" si="13">F58-F59</f>
        <v>0</v>
      </c>
      <c r="G62" s="7">
        <f t="shared" si="13"/>
        <v>0</v>
      </c>
      <c r="H62" s="7">
        <f t="shared" si="13"/>
        <v>0</v>
      </c>
      <c r="I62" s="7">
        <f t="shared" si="13"/>
        <v>0</v>
      </c>
      <c r="J62" s="7">
        <f>J58-J59</f>
        <v>1821141.313134819</v>
      </c>
      <c r="K62" s="7">
        <f t="shared" si="13"/>
        <v>1862268.7040428801</v>
      </c>
      <c r="L62" s="7">
        <f t="shared" si="13"/>
        <v>1906065.2913393155</v>
      </c>
      <c r="M62" s="7">
        <f t="shared" si="13"/>
        <v>1948696.8634108778</v>
      </c>
      <c r="N62" s="7">
        <f t="shared" si="13"/>
        <v>1991359.8448396914</v>
      </c>
      <c r="O62" s="7">
        <f t="shared" si="13"/>
        <v>2030721.2200968228</v>
      </c>
      <c r="P62" s="7">
        <f t="shared" si="13"/>
        <v>2069567.6664723137</v>
      </c>
      <c r="Q62" s="7">
        <f t="shared" si="13"/>
        <v>2109491.8241830212</v>
      </c>
      <c r="R62" s="7">
        <f t="shared" si="13"/>
        <v>2148787.475349498</v>
      </c>
      <c r="S62" s="7">
        <f t="shared" si="13"/>
        <v>2185519.817186296</v>
      </c>
      <c r="T62" s="7">
        <f t="shared" si="13"/>
        <v>2221372.1310008322</v>
      </c>
      <c r="U62" s="7">
        <f t="shared" si="13"/>
        <v>2254448.46697737</v>
      </c>
      <c r="V62" s="7">
        <f t="shared" si="13"/>
        <v>2284565.528095379</v>
      </c>
      <c r="W62" s="7">
        <f t="shared" si="13"/>
        <v>2311570.0847245045</v>
      </c>
      <c r="X62" s="7">
        <f t="shared" si="13"/>
        <v>2337179.0161999194</v>
      </c>
      <c r="Y62" s="7">
        <f t="shared" si="13"/>
        <v>2359330.5401518815</v>
      </c>
      <c r="Z62" s="7">
        <f t="shared" si="13"/>
        <v>2381828.8287684405</v>
      </c>
      <c r="AA62" s="7">
        <f t="shared" si="13"/>
        <v>2404820.7057594964</v>
      </c>
      <c r="AB62" s="7">
        <f t="shared" si="13"/>
        <v>0</v>
      </c>
    </row>
    <row r="64" spans="1:28">
      <c r="A64" s="4" t="s">
        <v>256</v>
      </c>
    </row>
    <row r="66" spans="1:28">
      <c r="A66" t="s">
        <v>257</v>
      </c>
      <c r="B66" s="13" t="s">
        <v>13</v>
      </c>
      <c r="D66" s="1">
        <f>Założenia!D180</f>
        <v>0.9</v>
      </c>
    </row>
    <row r="68" spans="1:28">
      <c r="A68" t="s">
        <v>258</v>
      </c>
      <c r="B68" s="13" t="s">
        <v>262</v>
      </c>
      <c r="E68" s="19">
        <f>Założenia!E177*Wrażliwość!$B$7</f>
        <v>0.35990425684128002</v>
      </c>
      <c r="F68" s="19">
        <f>Założenia!F177*Wrażliwość!$B$7</f>
        <v>0.38154519249177332</v>
      </c>
      <c r="G68" s="19">
        <f>Założenia!G177*Wrażliwość!$B$7</f>
        <v>0.39385297644511363</v>
      </c>
      <c r="H68" s="19">
        <f>Założenia!H177*Wrażliwość!$B$7</f>
        <v>0.40596001445299651</v>
      </c>
      <c r="I68" s="19">
        <f>Założenia!I177*Wrażliwość!$B$7</f>
        <v>0.41600854773979573</v>
      </c>
      <c r="J68" s="19">
        <f>Założenia!J177*Wrażliwość!$B$7</f>
        <v>0.42501064534973065</v>
      </c>
      <c r="K68" s="19">
        <f>Założenia!K177*Wrażliwość!$B$7</f>
        <v>0.43460879065856295</v>
      </c>
      <c r="L68" s="19">
        <f>Założenia!L177*Wrażliwość!$B$7</f>
        <v>0.44482986230013299</v>
      </c>
      <c r="M68" s="19">
        <f>Założenia!M177*Wrażliwość!$B$7</f>
        <v>0.45477904736761099</v>
      </c>
      <c r="N68" s="19">
        <f>Założenia!N177*Wrażliwość!$B$7</f>
        <v>0.46473556262473392</v>
      </c>
      <c r="O68" s="19">
        <f>Założenia!O177*Wrażliwość!$B$7</f>
        <v>0.47392156229385879</v>
      </c>
      <c r="P68" s="19">
        <f>Założenia!P177*Wrażliwość!$B$7</f>
        <v>0.48298738992871237</v>
      </c>
      <c r="Q68" s="19">
        <f>Założenia!Q177*Wrażliwość!$B$7</f>
        <v>0.49230472950653137</v>
      </c>
      <c r="R68" s="19">
        <f>Założenia!R177*Wrażliwość!$B$7</f>
        <v>0.50147539075134928</v>
      </c>
      <c r="S68" s="19">
        <f>Założenia!S177*Wrażliwość!$B$7</f>
        <v>0.5100478371599102</v>
      </c>
      <c r="T68" s="19">
        <f>Założenia!T177*Wrażliwość!$B$7</f>
        <v>0.51841490616312103</v>
      </c>
      <c r="U68" s="19">
        <f>Założenia!U177*Wrażliwość!$B$7</f>
        <v>0.52613412860775088</v>
      </c>
      <c r="V68" s="19">
        <f>Założenia!V177*Wrażliwość!$B$7</f>
        <v>0.53316272737133008</v>
      </c>
      <c r="W68" s="19">
        <f>Założenia!W177*Wrażliwość!$B$7</f>
        <v>0.53946494233814768</v>
      </c>
      <c r="X68" s="19">
        <f>Założenia!X177*Wrażliwość!$B$7</f>
        <v>0.54544145191188731</v>
      </c>
      <c r="Y68" s="19">
        <f>Założenia!Y177*Wrażliwość!$B$7</f>
        <v>0.55061108560390304</v>
      </c>
      <c r="Z68" s="19">
        <f>Założenia!Z177*Wrażliwość!$B$7</f>
        <v>0.55586164584062003</v>
      </c>
      <c r="AA68" s="19">
        <f>Założenia!AA177*Wrażliwość!$B$7</f>
        <v>0.56122739774976194</v>
      </c>
      <c r="AB68" s="19">
        <f>Założenia!AB177*Wrażliwość!$B$7</f>
        <v>0.56667488613413652</v>
      </c>
    </row>
    <row r="70" spans="1:28">
      <c r="A70" t="s">
        <v>259</v>
      </c>
      <c r="B70" s="13" t="s">
        <v>17</v>
      </c>
      <c r="E70" s="7">
        <f t="shared" ref="E70:AB70" si="14">E5*E68</f>
        <v>287923.405473024</v>
      </c>
      <c r="F70" s="7">
        <f t="shared" si="14"/>
        <v>305236.15399341867</v>
      </c>
      <c r="G70" s="7">
        <f t="shared" si="14"/>
        <v>315082.38115609088</v>
      </c>
      <c r="H70" s="7">
        <f t="shared" si="14"/>
        <v>324768.01156239718</v>
      </c>
      <c r="I70" s="7">
        <f t="shared" si="14"/>
        <v>332806.83819183661</v>
      </c>
      <c r="J70" s="7">
        <f t="shared" si="14"/>
        <v>340008.5162797845</v>
      </c>
      <c r="K70" s="7">
        <f t="shared" si="14"/>
        <v>347687.03252685035</v>
      </c>
      <c r="L70" s="7">
        <f t="shared" si="14"/>
        <v>355863.88984010642</v>
      </c>
      <c r="M70" s="7">
        <f t="shared" si="14"/>
        <v>363823.23789408879</v>
      </c>
      <c r="N70" s="7">
        <f t="shared" si="14"/>
        <v>371788.45009978715</v>
      </c>
      <c r="O70" s="7">
        <f t="shared" si="14"/>
        <v>379137.24983508704</v>
      </c>
      <c r="P70" s="7">
        <f t="shared" si="14"/>
        <v>386389.91194296989</v>
      </c>
      <c r="Q70" s="7">
        <f t="shared" si="14"/>
        <v>393843.78360522509</v>
      </c>
      <c r="R70" s="7">
        <f t="shared" si="14"/>
        <v>401180.31260107941</v>
      </c>
      <c r="S70" s="7">
        <f t="shared" si="14"/>
        <v>408038.26972792816</v>
      </c>
      <c r="T70" s="7">
        <f t="shared" si="14"/>
        <v>414731.92493049684</v>
      </c>
      <c r="U70" s="7">
        <f t="shared" si="14"/>
        <v>420907.30288620072</v>
      </c>
      <c r="V70" s="7">
        <f t="shared" si="14"/>
        <v>426530.18189706409</v>
      </c>
      <c r="W70" s="7">
        <f t="shared" si="14"/>
        <v>431571.95387051813</v>
      </c>
      <c r="X70" s="7">
        <f t="shared" si="14"/>
        <v>436353.16152950987</v>
      </c>
      <c r="Y70" s="7">
        <f t="shared" si="14"/>
        <v>440488.86848312244</v>
      </c>
      <c r="Z70" s="7">
        <f t="shared" si="14"/>
        <v>444689.31667249603</v>
      </c>
      <c r="AA70" s="7">
        <f t="shared" si="14"/>
        <v>448981.91819980956</v>
      </c>
      <c r="AB70" s="7">
        <f t="shared" si="14"/>
        <v>0</v>
      </c>
    </row>
    <row r="71" spans="1:28">
      <c r="A71" t="s">
        <v>260</v>
      </c>
      <c r="B71" s="13" t="s">
        <v>17</v>
      </c>
      <c r="E71" s="7">
        <f t="shared" ref="E71:AB71" si="15">E12*E68+(1-$D$66)*E17*E68</f>
        <v>287923.405473024</v>
      </c>
      <c r="F71" s="7">
        <f t="shared" si="15"/>
        <v>305236.15399341867</v>
      </c>
      <c r="G71" s="7">
        <f t="shared" si="15"/>
        <v>315082.38115609088</v>
      </c>
      <c r="H71" s="7">
        <f t="shared" si="15"/>
        <v>324768.01156239718</v>
      </c>
      <c r="I71" s="7">
        <f t="shared" si="15"/>
        <v>332806.83819183661</v>
      </c>
      <c r="J71" s="7">
        <f t="shared" si="15"/>
        <v>34000.851627978445</v>
      </c>
      <c r="K71" s="7">
        <f t="shared" si="15"/>
        <v>34768.703252685031</v>
      </c>
      <c r="L71" s="7">
        <f t="shared" si="15"/>
        <v>35586.388984010635</v>
      </c>
      <c r="M71" s="7">
        <f t="shared" si="15"/>
        <v>36382.323789408874</v>
      </c>
      <c r="N71" s="7">
        <f t="shared" si="15"/>
        <v>37178.845009978708</v>
      </c>
      <c r="O71" s="7">
        <f t="shared" si="15"/>
        <v>37913.724983508699</v>
      </c>
      <c r="P71" s="7">
        <f t="shared" si="15"/>
        <v>38638.991194296985</v>
      </c>
      <c r="Q71" s="7">
        <f t="shared" si="15"/>
        <v>39384.378360522503</v>
      </c>
      <c r="R71" s="7">
        <f t="shared" si="15"/>
        <v>40118.031260107935</v>
      </c>
      <c r="S71" s="7">
        <f t="shared" si="15"/>
        <v>40803.826972792805</v>
      </c>
      <c r="T71" s="7">
        <f t="shared" si="15"/>
        <v>41473.192493049675</v>
      </c>
      <c r="U71" s="7">
        <f t="shared" si="15"/>
        <v>42090.730288620063</v>
      </c>
      <c r="V71" s="7">
        <f t="shared" si="15"/>
        <v>42653.018189706396</v>
      </c>
      <c r="W71" s="7">
        <f t="shared" si="15"/>
        <v>43157.195387051805</v>
      </c>
      <c r="X71" s="7">
        <f t="shared" si="15"/>
        <v>43635.316152950974</v>
      </c>
      <c r="Y71" s="7">
        <f t="shared" si="15"/>
        <v>44048.886848312235</v>
      </c>
      <c r="Z71" s="7">
        <f t="shared" si="15"/>
        <v>44468.931667249592</v>
      </c>
      <c r="AA71" s="7">
        <f t="shared" si="15"/>
        <v>44898.191819980944</v>
      </c>
      <c r="AB71" s="7">
        <f t="shared" si="15"/>
        <v>0</v>
      </c>
    </row>
    <row r="72" spans="1:28">
      <c r="A72" t="s">
        <v>261</v>
      </c>
      <c r="B72" s="13" t="s">
        <v>17</v>
      </c>
      <c r="E72" s="7">
        <f>E70-E71</f>
        <v>0</v>
      </c>
      <c r="F72" s="7">
        <f t="shared" ref="F72:AB72" si="16">F70-F71</f>
        <v>0</v>
      </c>
      <c r="G72" s="7">
        <f t="shared" si="16"/>
        <v>0</v>
      </c>
      <c r="H72" s="7">
        <f t="shared" si="16"/>
        <v>0</v>
      </c>
      <c r="I72" s="7">
        <f t="shared" si="16"/>
        <v>0</v>
      </c>
      <c r="J72" s="7">
        <f>J70-J71</f>
        <v>306007.66465180606</v>
      </c>
      <c r="K72" s="7">
        <f t="shared" si="16"/>
        <v>312918.32927416533</v>
      </c>
      <c r="L72" s="7">
        <f t="shared" si="16"/>
        <v>320277.50085609581</v>
      </c>
      <c r="M72" s="7">
        <f t="shared" si="16"/>
        <v>327440.91410467989</v>
      </c>
      <c r="N72" s="7">
        <f t="shared" si="16"/>
        <v>334609.60508980846</v>
      </c>
      <c r="O72" s="7">
        <f t="shared" si="16"/>
        <v>341223.52485157835</v>
      </c>
      <c r="P72" s="7">
        <f t="shared" si="16"/>
        <v>347750.92074867291</v>
      </c>
      <c r="Q72" s="7">
        <f t="shared" si="16"/>
        <v>354459.40524470259</v>
      </c>
      <c r="R72" s="7">
        <f t="shared" si="16"/>
        <v>361062.28134097147</v>
      </c>
      <c r="S72" s="7">
        <f t="shared" si="16"/>
        <v>367234.44275513536</v>
      </c>
      <c r="T72" s="7">
        <f t="shared" si="16"/>
        <v>373258.73243744718</v>
      </c>
      <c r="U72" s="7">
        <f t="shared" si="16"/>
        <v>378816.57259758067</v>
      </c>
      <c r="V72" s="7">
        <f t="shared" si="16"/>
        <v>383877.16370735771</v>
      </c>
      <c r="W72" s="7">
        <f t="shared" si="16"/>
        <v>388414.75848346634</v>
      </c>
      <c r="X72" s="7">
        <f t="shared" si="16"/>
        <v>392717.84537655889</v>
      </c>
      <c r="Y72" s="7">
        <f t="shared" si="16"/>
        <v>396439.98163481022</v>
      </c>
      <c r="Z72" s="7">
        <f t="shared" si="16"/>
        <v>400220.38500524644</v>
      </c>
      <c r="AA72" s="7">
        <f t="shared" si="16"/>
        <v>404083.72637982864</v>
      </c>
      <c r="AB72" s="7">
        <f t="shared" si="16"/>
        <v>0</v>
      </c>
    </row>
    <row r="75" spans="1:28" ht="28.8">
      <c r="A75" s="20" t="s">
        <v>399</v>
      </c>
      <c r="E75">
        <f>IF((E1&gt;=Założenia!$D$48)*AND(KorzysciEkonomiczne!E1&lt;=Założenia!$D$16),1,0)</f>
        <v>0</v>
      </c>
      <c r="F75">
        <f>IF((F1&gt;=Założenia!$D$48)*AND(KorzysciEkonomiczne!F1&lt;=Założenia!$D$16),1,0)</f>
        <v>0</v>
      </c>
      <c r="G75">
        <f>IF((G1&gt;=Założenia!$D$48)*AND(KorzysciEkonomiczne!G1&lt;=Założenia!$D$16),1,0)</f>
        <v>0</v>
      </c>
      <c r="H75">
        <f>IF((H1&gt;=Założenia!$D$48)*AND(KorzysciEkonomiczne!H1&lt;=Założenia!$D$16),1,0)</f>
        <v>0</v>
      </c>
      <c r="I75">
        <f>IF((I1&gt;=Założenia!$D$48)*AND(KorzysciEkonomiczne!I1&lt;=Założenia!$D$16),1,0)</f>
        <v>0</v>
      </c>
      <c r="J75">
        <f>IF((J1&gt;=Założenia!$D$48)*AND(KorzysciEkonomiczne!J1&lt;=Założenia!$D$16),1,0)</f>
        <v>1</v>
      </c>
      <c r="K75">
        <f>IF((K1&gt;=Założenia!$D$48)*AND(KorzysciEkonomiczne!K1&lt;=Założenia!$D$16),1,0)</f>
        <v>1</v>
      </c>
      <c r="L75">
        <f>IF((L1&gt;=Założenia!$D$48)*AND(KorzysciEkonomiczne!L1&lt;=Założenia!$D$16),1,0)</f>
        <v>1</v>
      </c>
      <c r="M75">
        <f>IF((M1&gt;=Założenia!$D$48)*AND(KorzysciEkonomiczne!M1&lt;=Założenia!$D$16),1,0)</f>
        <v>1</v>
      </c>
      <c r="N75">
        <f>IF((N1&gt;=Założenia!$D$48)*AND(KorzysciEkonomiczne!N1&lt;=Założenia!$D$16),1,0)</f>
        <v>1</v>
      </c>
      <c r="O75">
        <f>IF((O1&gt;=Założenia!$D$48)*AND(KorzysciEkonomiczne!O1&lt;=Założenia!$D$16),1,0)</f>
        <v>1</v>
      </c>
      <c r="P75">
        <f>IF((P1&gt;=Założenia!$D$48)*AND(KorzysciEkonomiczne!P1&lt;=Założenia!$D$16),1,0)</f>
        <v>1</v>
      </c>
      <c r="Q75">
        <f>IF((Q1&gt;=Założenia!$D$48)*AND(KorzysciEkonomiczne!Q1&lt;=Założenia!$D$16),1,0)</f>
        <v>1</v>
      </c>
      <c r="R75">
        <f>IF((R1&gt;=Założenia!$D$48)*AND(KorzysciEkonomiczne!R1&lt;=Założenia!$D$16),1,0)</f>
        <v>1</v>
      </c>
      <c r="S75">
        <f>IF((S1&gt;=Założenia!$D$48)*AND(KorzysciEkonomiczne!S1&lt;=Założenia!$D$16),1,0)</f>
        <v>1</v>
      </c>
      <c r="T75">
        <f>IF((T1&gt;=Założenia!$D$48)*AND(KorzysciEkonomiczne!T1&lt;=Założenia!$D$16),1,0)</f>
        <v>1</v>
      </c>
      <c r="U75">
        <f>IF((U1&gt;=Założenia!$D$48)*AND(KorzysciEkonomiczne!U1&lt;=Założenia!$D$16),1,0)</f>
        <v>1</v>
      </c>
      <c r="V75">
        <f>IF((V1&gt;=Założenia!$D$48)*AND(KorzysciEkonomiczne!V1&lt;=Założenia!$D$16),1,0)</f>
        <v>1</v>
      </c>
      <c r="W75">
        <f>IF((W1&gt;=Założenia!$D$48)*AND(KorzysciEkonomiczne!W1&lt;=Założenia!$D$16),1,0)</f>
        <v>0</v>
      </c>
      <c r="X75">
        <f>IF((X1&gt;=Założenia!$D$48)*AND(KorzysciEkonomiczne!X1&lt;=Założenia!$D$16),1,0)</f>
        <v>0</v>
      </c>
      <c r="Y75">
        <f>IF((Y1&gt;=Założenia!$D$48)*AND(KorzysciEkonomiczne!Y1&lt;=Założenia!$D$16),1,0)</f>
        <v>0</v>
      </c>
      <c r="Z75">
        <f>IF((Z1&gt;=Założenia!$D$48)*AND(KorzysciEkonomiczne!Z1&lt;=Założenia!$D$16),1,0)</f>
        <v>0</v>
      </c>
      <c r="AA75">
        <f>IF((AA1&gt;=Założenia!$D$48)*AND(KorzysciEkonomiczne!AA1&lt;=Założenia!$D$16),1,0)</f>
        <v>0</v>
      </c>
      <c r="AB75">
        <f>IF((AB1&gt;=Założenia!$D$48)*AND(KorzysciEkonomiczne!AB1&lt;=Założenia!$D$16),1,0)</f>
        <v>0</v>
      </c>
    </row>
    <row r="77" spans="1:28" ht="28.8">
      <c r="A77" s="49" t="s">
        <v>397</v>
      </c>
      <c r="C77" s="7">
        <f>SUM(E77:AB77)</f>
        <v>41461305.300454222</v>
      </c>
      <c r="E77" s="7">
        <f>(E58+E39)*E$75*Założenia!E$20</f>
        <v>0</v>
      </c>
      <c r="F77" s="7">
        <f>(F58+F39)*F$75*Założenia!F$20</f>
        <v>0</v>
      </c>
      <c r="G77" s="7">
        <f>(G58+G39)*G$75*Założenia!G$20</f>
        <v>0</v>
      </c>
      <c r="H77" s="7">
        <f>(H58+H39)*H$75*Założenia!H$20</f>
        <v>0</v>
      </c>
      <c r="I77" s="7">
        <f>(I58+I39)*I$75*Założenia!I$20</f>
        <v>0</v>
      </c>
      <c r="J77" s="7">
        <f>(J58+J39)*J$75*Założenia!J$20</f>
        <v>2853276.5579795642</v>
      </c>
      <c r="K77" s="7">
        <f>(K58+K39)*K$75*Założenia!K$20</f>
        <v>2894663.7822793354</v>
      </c>
      <c r="L77" s="7">
        <f>(L58+L39)*L$75*Założenia!L$20</f>
        <v>2933591.1085985708</v>
      </c>
      <c r="M77" s="7">
        <f>(M58+M39)*M$75*Założenia!M$20</f>
        <v>3019764.3768056077</v>
      </c>
      <c r="N77" s="7">
        <f>(N58+N39)*N$75*Założenia!N$20</f>
        <v>3098455.4759431449</v>
      </c>
      <c r="O77" s="7">
        <f>(O58+O39)*O$75*Założenia!O$20</f>
        <v>3167316.3438128005</v>
      </c>
      <c r="P77" s="7">
        <f>(P58+P39)*P$75*Założenia!P$20</f>
        <v>3229130.8770662071</v>
      </c>
      <c r="Q77" s="7">
        <f>(Q58+Q39)*Q$75*Założenia!Q$20</f>
        <v>3285483.5902365251</v>
      </c>
      <c r="R77" s="7">
        <f>(R58+R39)*R$75*Założenia!R$20</f>
        <v>3331192.3850546367</v>
      </c>
      <c r="S77" s="7">
        <f>(S58+S39)*S$75*Założenia!S$20</f>
        <v>3369599.5473801382</v>
      </c>
      <c r="T77" s="7">
        <f>(T58+T39)*T$75*Założenia!T$20</f>
        <v>3402326.1938468697</v>
      </c>
      <c r="U77" s="7">
        <f>(U58+U39)*U$75*Założenia!U$20</f>
        <v>3428397.5742208287</v>
      </c>
      <c r="V77" s="7">
        <f>(V58+V39)*V$75*Założenia!V$20</f>
        <v>3448107.4872299959</v>
      </c>
      <c r="W77" s="7">
        <f>(W58+W39)*W$75*Założenia!W$20</f>
        <v>0</v>
      </c>
      <c r="X77" s="7">
        <f>(X58+X39)*X$75*Założenia!X$20</f>
        <v>0</v>
      </c>
      <c r="Y77" s="7">
        <f>(Y58+Y39)*Y$75*Założenia!Y$20</f>
        <v>0</v>
      </c>
      <c r="Z77" s="7">
        <f>(Z58+Z39)*Z$75*Założenia!Z$20</f>
        <v>0</v>
      </c>
      <c r="AA77" s="7">
        <f>(AA58+AA39)*AA$75*Założenia!AA$20</f>
        <v>0</v>
      </c>
      <c r="AB77" s="7">
        <f>(AB58+AB39)*AB$75*Założenia!AB$20</f>
        <v>0</v>
      </c>
    </row>
    <row r="78" spans="1:28" ht="28.8">
      <c r="A78" s="49" t="s">
        <v>398</v>
      </c>
      <c r="C78" s="7">
        <f>SUM(E78:AB78)</f>
        <v>11468715.603750352</v>
      </c>
      <c r="E78" s="7">
        <f>(E59+E40)*E$75*Założenia!E$20</f>
        <v>0</v>
      </c>
      <c r="F78" s="7">
        <f>(F59+F40)*F$75*Założenia!F$20</f>
        <v>0</v>
      </c>
      <c r="G78" s="7">
        <f>(G59+G40)*G$75*Założenia!G$20</f>
        <v>0</v>
      </c>
      <c r="H78" s="7">
        <f>(H59+H40)*H$75*Założenia!H$20</f>
        <v>0</v>
      </c>
      <c r="I78" s="7">
        <f>(I59+I40)*I$75*Założenia!I$20</f>
        <v>0</v>
      </c>
      <c r="J78" s="7">
        <f>(J59+J40)*J$75*Założenia!J$20</f>
        <v>838857.80131370761</v>
      </c>
      <c r="K78" s="7">
        <f>(K59+K40)*K$75*Założenia!K$20</f>
        <v>858792.47349491704</v>
      </c>
      <c r="L78" s="7">
        <f>(L59+L40)*L$75*Założenia!L$20</f>
        <v>853624.52558778622</v>
      </c>
      <c r="M78" s="7">
        <f>(M59+M40)*M$75*Założenia!M$20</f>
        <v>877331.59810744866</v>
      </c>
      <c r="N78" s="7">
        <f>(N59+N40)*N$75*Założenia!N$20</f>
        <v>890279.19694966509</v>
      </c>
      <c r="O78" s="7">
        <f>(O59+O40)*O$75*Założenia!O$20</f>
        <v>893326.04352914216</v>
      </c>
      <c r="P78" s="7">
        <f>(P59+P40)*P$75*Założenia!P$20</f>
        <v>887282.62253351917</v>
      </c>
      <c r="Q78" s="7">
        <f>(Q59+Q40)*Q$75*Założenia!Q$20</f>
        <v>897680.32343178848</v>
      </c>
      <c r="R78" s="7">
        <f>(R59+R40)*R$75*Założenia!R$20</f>
        <v>900324.00326703535</v>
      </c>
      <c r="S78" s="7">
        <f>(S59+S40)*S$75*Założenia!S$20</f>
        <v>898085.87624869752</v>
      </c>
      <c r="T78" s="7">
        <f>(T59+T40)*T$75*Założenia!T$20</f>
        <v>891363.59920948092</v>
      </c>
      <c r="U78" s="7">
        <f>(U59+U40)*U$75*Założenia!U$20</f>
        <v>880532.44118849013</v>
      </c>
      <c r="V78" s="7">
        <f>(V59+V40)*V$75*Założenia!V$20</f>
        <v>901235.09888867568</v>
      </c>
      <c r="W78" s="7">
        <f>(W59+W40)*W$75*Założenia!W$20</f>
        <v>0</v>
      </c>
      <c r="X78" s="7">
        <f>(X59+X40)*X$75*Założenia!X$20</f>
        <v>0</v>
      </c>
      <c r="Y78" s="7">
        <f>(Y59+Y40)*Y$75*Założenia!Y$20</f>
        <v>0</v>
      </c>
      <c r="Z78" s="7">
        <f>(Z59+Z40)*Z$75*Założenia!Z$20</f>
        <v>0</v>
      </c>
      <c r="AA78" s="7">
        <f>(AA59+AA40)*AA$75*Założenia!AA$20</f>
        <v>0</v>
      </c>
      <c r="AB78" s="7">
        <f>(AB59+AB40)*AB$75*Założenia!AB$20</f>
        <v>0</v>
      </c>
    </row>
    <row r="79" spans="1:28" ht="57.6">
      <c r="A79" s="49" t="s">
        <v>395</v>
      </c>
      <c r="C79" s="19">
        <f>C77/C78</f>
        <v>3.6151655279424735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88"/>
  <sheetViews>
    <sheetView workbookViewId="0"/>
  </sheetViews>
  <sheetFormatPr defaultRowHeight="14.4"/>
  <cols>
    <col min="1" max="1" width="61.33203125" customWidth="1"/>
    <col min="2" max="2" width="9.88671875" style="13" bestFit="1" customWidth="1"/>
    <col min="4" max="28" width="13.6640625" customWidth="1"/>
    <col min="29" max="35" width="12.6640625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12</v>
      </c>
      <c r="B3" s="13" t="s">
        <v>17</v>
      </c>
      <c r="E3" s="7">
        <f>Założenia!E102*(E1&lt;=Założenia!$D$16)</f>
        <v>0</v>
      </c>
      <c r="F3" s="7">
        <f>Założenia!F102*(F1&lt;=Założenia!$D$16)</f>
        <v>0</v>
      </c>
      <c r="G3" s="7">
        <f>Założenia!G102*(G1&lt;=Założenia!$D$16)</f>
        <v>3000</v>
      </c>
      <c r="H3" s="7">
        <f>Założenia!H102*(H1&lt;=Założenia!$D$16)</f>
        <v>13437000</v>
      </c>
      <c r="I3" s="7">
        <f>Założenia!I102*(I1&lt;=Założenia!$D$16)</f>
        <v>14845000</v>
      </c>
      <c r="J3" s="7">
        <f>Założenia!J102*(J1&lt;=Założenia!$D$16)</f>
        <v>0</v>
      </c>
      <c r="K3" s="7">
        <f>Założenia!K102*(K1&lt;=Założenia!$D$16)</f>
        <v>0</v>
      </c>
      <c r="L3" s="7">
        <f>Założenia!L102*(L1&lt;=Założenia!$D$16)</f>
        <v>0</v>
      </c>
      <c r="M3" s="7">
        <f>Założenia!M102*(M1&lt;=Założenia!$D$16)</f>
        <v>0</v>
      </c>
      <c r="N3" s="7">
        <f>Założenia!N102*(N1&lt;=Założenia!$D$16)</f>
        <v>0</v>
      </c>
      <c r="O3" s="7">
        <f>Założenia!O102*(O1&lt;=Założenia!$D$16)</f>
        <v>0</v>
      </c>
      <c r="P3" s="7">
        <f>Założenia!P102*(P1&lt;=Założenia!$D$16)</f>
        <v>0</v>
      </c>
      <c r="Q3" s="7">
        <f>Założenia!Q102*(Q1&lt;=Założenia!$D$16)</f>
        <v>0</v>
      </c>
      <c r="R3" s="7">
        <f>Założenia!R102*(R1&lt;=Założenia!$D$16)</f>
        <v>0</v>
      </c>
      <c r="S3" s="7">
        <f>Założenia!S102*(S1&lt;=Założenia!$D$16)</f>
        <v>0</v>
      </c>
      <c r="T3" s="7">
        <f>Założenia!T102*(T1&lt;=Założenia!$D$16)</f>
        <v>0</v>
      </c>
      <c r="U3" s="7">
        <f>Założenia!U102*(U1&lt;=Założenia!$D$16)</f>
        <v>0</v>
      </c>
      <c r="V3" s="7">
        <f>Założenia!V102*(V1&lt;=Założenia!$D$16)</f>
        <v>0</v>
      </c>
      <c r="W3" s="7">
        <f>Założenia!W102*(W1&lt;=Założenia!$D$16)</f>
        <v>0</v>
      </c>
      <c r="X3" s="7">
        <f>Założenia!X102*(X1&lt;=Założenia!$D$16)</f>
        <v>0</v>
      </c>
      <c r="Y3" s="7">
        <f>Założenia!Y102*(Y1&lt;=Założenia!$D$16)</f>
        <v>0</v>
      </c>
      <c r="Z3" s="7">
        <f>Założenia!Z102*(Z1&lt;=Założenia!$D$16)</f>
        <v>0</v>
      </c>
      <c r="AA3" s="7">
        <f>Założenia!AA102*(AA1&lt;=Założenia!$D$16)</f>
        <v>0</v>
      </c>
      <c r="AB3" s="7">
        <f>Założenia!AB102*(AB1&lt;=Założenia!$D$16)</f>
        <v>0</v>
      </c>
    </row>
    <row r="4" spans="1:28">
      <c r="A4" t="s">
        <v>44</v>
      </c>
      <c r="B4" s="13" t="s">
        <v>17</v>
      </c>
      <c r="E4" s="7">
        <f>Eksploatacja!E57*(E1&lt;=Założenia!$D$16)</f>
        <v>0</v>
      </c>
      <c r="F4" s="7">
        <f>Eksploatacja!F57*(F1&lt;=Założenia!$D$16)</f>
        <v>0</v>
      </c>
      <c r="G4" s="7">
        <f>Eksploatacja!G57*(G1&lt;=Założenia!$D$16)</f>
        <v>0</v>
      </c>
      <c r="H4" s="7">
        <f>Eksploatacja!H57*(H1&lt;=Założenia!$D$16)</f>
        <v>0</v>
      </c>
      <c r="I4" s="7">
        <f>Eksploatacja!I57*(I1&lt;=Założenia!$D$16)</f>
        <v>0</v>
      </c>
      <c r="J4" s="7">
        <f>Eksploatacja!J57*(J1&lt;=Założenia!$D$16)</f>
        <v>0</v>
      </c>
      <c r="K4" s="7">
        <f>Eksploatacja!K57*(K1&lt;=Założenia!$D$16)</f>
        <v>-600000</v>
      </c>
      <c r="L4" s="7">
        <f>Eksploatacja!L57*(L1&lt;=Założenia!$D$16)</f>
        <v>0</v>
      </c>
      <c r="M4" s="7">
        <f>Eksploatacja!M57*(M1&lt;=Założenia!$D$16)</f>
        <v>0</v>
      </c>
      <c r="N4" s="7">
        <f>Eksploatacja!N57*(N1&lt;=Założenia!$D$16)</f>
        <v>0</v>
      </c>
      <c r="O4" s="7">
        <f>Eksploatacja!O57*(O1&lt;=Założenia!$D$16)</f>
        <v>0</v>
      </c>
      <c r="P4" s="7">
        <f>Eksploatacja!P57*(P1&lt;=Założenia!$D$16)</f>
        <v>-100000</v>
      </c>
      <c r="Q4" s="7">
        <f>Eksploatacja!Q57*(Q1&lt;=Założenia!$D$16)</f>
        <v>0</v>
      </c>
      <c r="R4" s="7">
        <f>Eksploatacja!R57*(R1&lt;=Założenia!$D$16)</f>
        <v>500000</v>
      </c>
      <c r="S4" s="7">
        <f>Eksploatacja!S57*(S1&lt;=Założenia!$D$16)</f>
        <v>0</v>
      </c>
      <c r="T4" s="7">
        <f>Eksploatacja!T57*(T1&lt;=Założenia!$D$16)</f>
        <v>0</v>
      </c>
      <c r="U4" s="7">
        <f>Eksploatacja!U57*(U1&lt;=Założenia!$D$16)</f>
        <v>0</v>
      </c>
      <c r="V4" s="7">
        <f>Eksploatacja!V57*(V1&lt;=Założenia!$D$16)</f>
        <v>0</v>
      </c>
      <c r="W4" s="7">
        <f>Eksploatacja!W57*(W1&lt;=Założenia!$D$16)</f>
        <v>0</v>
      </c>
      <c r="X4" s="7">
        <f>Eksploatacja!X57*(X1&lt;=Założenia!$D$16)</f>
        <v>0</v>
      </c>
      <c r="Y4" s="7">
        <f>Eksploatacja!Y57*(Y1&lt;=Założenia!$D$16)</f>
        <v>0</v>
      </c>
      <c r="Z4" s="7">
        <f>Eksploatacja!Z57*(Z1&lt;=Założenia!$D$16)</f>
        <v>0</v>
      </c>
      <c r="AA4" s="7">
        <f>Eksploatacja!AA57*(AA1&lt;=Założenia!$D$16)</f>
        <v>0</v>
      </c>
      <c r="AB4" s="7">
        <f>Eksploatacja!AB57*(AB1&lt;=Założenia!$D$16)</f>
        <v>0</v>
      </c>
    </row>
    <row r="5" spans="1:28">
      <c r="A5" t="s">
        <v>166</v>
      </c>
      <c r="B5" s="13" t="s">
        <v>17</v>
      </c>
      <c r="E5" s="7">
        <f>Eksploatacja!E56*(E1&lt;=Założenia!$D$16)</f>
        <v>0</v>
      </c>
      <c r="F5" s="7">
        <f>Eksploatacja!F56*(F1&lt;=Założenia!$D$16)</f>
        <v>0</v>
      </c>
      <c r="G5" s="7">
        <f>Eksploatacja!G56*(G1&lt;=Założenia!$D$16)</f>
        <v>0</v>
      </c>
      <c r="H5" s="7">
        <f>Eksploatacja!H56*(H1&lt;=Założenia!$D$16)</f>
        <v>0</v>
      </c>
      <c r="I5" s="7">
        <f>Eksploatacja!I56*(I1&lt;=Założenia!$D$16)</f>
        <v>0</v>
      </c>
      <c r="J5" s="7">
        <f>Eksploatacja!J56*(J1&lt;=Założenia!$D$16)</f>
        <v>-640000</v>
      </c>
      <c r="K5" s="7">
        <f>Eksploatacja!K56*(K1&lt;=Założenia!$D$16)</f>
        <v>-640000</v>
      </c>
      <c r="L5" s="7">
        <f>Eksploatacja!L56*(L1&lt;=Założenia!$D$16)</f>
        <v>-640000</v>
      </c>
      <c r="M5" s="7">
        <f>Eksploatacja!M56*(M1&lt;=Założenia!$D$16)</f>
        <v>-640000</v>
      </c>
      <c r="N5" s="7">
        <f>Eksploatacja!N56*(N1&lt;=Założenia!$D$16)</f>
        <v>-640000</v>
      </c>
      <c r="O5" s="7">
        <f>Eksploatacja!O56*(O1&lt;=Założenia!$D$16)</f>
        <v>-640000</v>
      </c>
      <c r="P5" s="7">
        <f>Eksploatacja!P56*(P1&lt;=Założenia!$D$16)</f>
        <v>-640000</v>
      </c>
      <c r="Q5" s="7">
        <f>Eksploatacja!Q56*(Q1&lt;=Założenia!$D$16)</f>
        <v>-640000</v>
      </c>
      <c r="R5" s="7">
        <f>Eksploatacja!R56*(R1&lt;=Założenia!$D$16)</f>
        <v>-640000</v>
      </c>
      <c r="S5" s="7">
        <f>Eksploatacja!S56*(S1&lt;=Założenia!$D$16)</f>
        <v>-640000</v>
      </c>
      <c r="T5" s="7">
        <f>Eksploatacja!T56*(T1&lt;=Założenia!$D$16)</f>
        <v>-640000</v>
      </c>
      <c r="U5" s="7">
        <f>Eksploatacja!U56*(U1&lt;=Założenia!$D$16)</f>
        <v>-640000</v>
      </c>
      <c r="V5" s="7">
        <f>Eksploatacja!V56*(V1&lt;=Założenia!$D$16)</f>
        <v>-640000</v>
      </c>
      <c r="W5" s="7">
        <f>Eksploatacja!W56*(W1&lt;=Założenia!$D$16)</f>
        <v>0</v>
      </c>
      <c r="X5" s="7">
        <f>Eksploatacja!X56*(X1&lt;=Założenia!$D$16)</f>
        <v>0</v>
      </c>
      <c r="Y5" s="7">
        <f>Eksploatacja!Y56*(Y1&lt;=Założenia!$D$16)</f>
        <v>0</v>
      </c>
      <c r="Z5" s="7">
        <f>Eksploatacja!Z56*(Z1&lt;=Założenia!$D$16)</f>
        <v>0</v>
      </c>
      <c r="AA5" s="7">
        <f>Eksploatacja!AA56*(AA1&lt;=Założenia!$D$16)</f>
        <v>0</v>
      </c>
      <c r="AB5" s="7">
        <f>Eksploatacja!AB56*(AB1&lt;=Założenia!$D$16)</f>
        <v>0</v>
      </c>
    </row>
    <row r="6" spans="1:28">
      <c r="A6" t="s">
        <v>50</v>
      </c>
      <c r="B6" s="13" t="s">
        <v>17</v>
      </c>
      <c r="E6" s="7">
        <f>Eksploatacja!E58*(E1&lt;=Założenia!$D$16)</f>
        <v>0</v>
      </c>
      <c r="F6" s="7">
        <f>Eksploatacja!F58*(F1&lt;=Założenia!$D$16)</f>
        <v>0</v>
      </c>
      <c r="G6" s="7">
        <f>Eksploatacja!G58*(G1&lt;=Założenia!$D$16)</f>
        <v>0</v>
      </c>
      <c r="H6" s="7">
        <f>Eksploatacja!H58*(H1&lt;=Założenia!$D$16)</f>
        <v>0</v>
      </c>
      <c r="I6" s="7">
        <f>Eksploatacja!I58*(I1&lt;=Założenia!$D$16)</f>
        <v>0</v>
      </c>
      <c r="J6" s="7">
        <f>Eksploatacja!J58*(J1&lt;=Założenia!$D$16)</f>
        <v>72000</v>
      </c>
      <c r="K6" s="7">
        <f>Eksploatacja!K58*(K1&lt;=Założenia!$D$16)</f>
        <v>72000</v>
      </c>
      <c r="L6" s="7">
        <f>Eksploatacja!L58*(L1&lt;=Założenia!$D$16)</f>
        <v>72000</v>
      </c>
      <c r="M6" s="7">
        <f>Eksploatacja!M58*(M1&lt;=Założenia!$D$16)</f>
        <v>72000</v>
      </c>
      <c r="N6" s="7">
        <f>Eksploatacja!N58*(N1&lt;=Założenia!$D$16)</f>
        <v>72000</v>
      </c>
      <c r="O6" s="7">
        <f>Eksploatacja!O58*(O1&lt;=Założenia!$D$16)</f>
        <v>72000</v>
      </c>
      <c r="P6" s="7">
        <f>Eksploatacja!P58*(P1&lt;=Założenia!$D$16)</f>
        <v>72000</v>
      </c>
      <c r="Q6" s="7">
        <f>Eksploatacja!Q58*(Q1&lt;=Założenia!$D$16)</f>
        <v>72000</v>
      </c>
      <c r="R6" s="7">
        <f>Eksploatacja!R58*(R1&lt;=Założenia!$D$16)</f>
        <v>72000</v>
      </c>
      <c r="S6" s="7">
        <f>Eksploatacja!S58*(S1&lt;=Założenia!$D$16)</f>
        <v>72000</v>
      </c>
      <c r="T6" s="7">
        <f>Eksploatacja!T58*(T1&lt;=Założenia!$D$16)</f>
        <v>72000</v>
      </c>
      <c r="U6" s="7">
        <f>Eksploatacja!U58*(U1&lt;=Założenia!$D$16)</f>
        <v>72000</v>
      </c>
      <c r="V6" s="7">
        <f>Eksploatacja!V58*(V1&lt;=Założenia!$D$16)</f>
        <v>72000</v>
      </c>
      <c r="W6" s="7">
        <f>Eksploatacja!W58*(W1&lt;=Założenia!$D$16)</f>
        <v>0</v>
      </c>
      <c r="X6" s="7">
        <f>Eksploatacja!X58*(X1&lt;=Założenia!$D$16)</f>
        <v>0</v>
      </c>
      <c r="Y6" s="7">
        <f>Eksploatacja!Y58*(Y1&lt;=Założenia!$D$16)</f>
        <v>0</v>
      </c>
      <c r="Z6" s="7">
        <f>Eksploatacja!Z58*(Z1&lt;=Założenia!$D$16)</f>
        <v>0</v>
      </c>
      <c r="AA6" s="7">
        <f>Eksploatacja!AA58*(AA1&lt;=Założenia!$D$16)</f>
        <v>0</v>
      </c>
      <c r="AB6" s="7">
        <f>Eksploatacja!AB58*(AB1&lt;=Założenia!$D$16)</f>
        <v>0</v>
      </c>
    </row>
    <row r="7" spans="1:28">
      <c r="A7" t="s">
        <v>56</v>
      </c>
      <c r="B7" s="13" t="s">
        <v>17</v>
      </c>
      <c r="E7" s="7">
        <f>$D$58*(E1=Założenia!$D$16)</f>
        <v>0</v>
      </c>
      <c r="F7" s="7">
        <f>$D$58*(F1=Założenia!$D$16)</f>
        <v>0</v>
      </c>
      <c r="G7" s="7">
        <f>$D$58*(G1=Założenia!$D$16)</f>
        <v>0</v>
      </c>
      <c r="H7" s="7">
        <f>$D$58*(H1=Założenia!$D$16)</f>
        <v>0</v>
      </c>
      <c r="I7" s="7">
        <f>$D$58*(I1=Założenia!$D$16)</f>
        <v>0</v>
      </c>
      <c r="J7" s="7">
        <f>$D$58*(J1=Założenia!$D$16)</f>
        <v>0</v>
      </c>
      <c r="K7" s="7">
        <f>$D$58*(K1=Założenia!$D$16)</f>
        <v>0</v>
      </c>
      <c r="L7" s="7">
        <f>$D$58*(L1=Założenia!$D$16)</f>
        <v>0</v>
      </c>
      <c r="M7" s="7">
        <f>$D$58*(M1=Założenia!$D$16)</f>
        <v>0</v>
      </c>
      <c r="N7" s="7">
        <f>$D$58*(N1=Założenia!$D$16)</f>
        <v>0</v>
      </c>
      <c r="O7" s="7">
        <f>$D$58*(O1=Założenia!$D$16)</f>
        <v>0</v>
      </c>
      <c r="P7" s="7">
        <f>$D$58*(P1=Założenia!$D$16)</f>
        <v>0</v>
      </c>
      <c r="Q7" s="7">
        <f>$D$58*(Q1=Założenia!$D$16)</f>
        <v>0</v>
      </c>
      <c r="R7" s="7">
        <f>$D$58*(R1=Założenia!$D$16)</f>
        <v>0</v>
      </c>
      <c r="S7" s="7">
        <f>$D$58*(S1=Założenia!$D$16)</f>
        <v>0</v>
      </c>
      <c r="T7" s="7">
        <f>$D$58*(T1=Założenia!$D$16)</f>
        <v>0</v>
      </c>
      <c r="U7" s="7">
        <f>$D$58*(U1=Założenia!$D$16)</f>
        <v>0</v>
      </c>
      <c r="V7" s="7">
        <f>$D$58*(V1=Założenia!$D$16)</f>
        <v>1371916.2494310425</v>
      </c>
      <c r="W7" s="7">
        <f>$D$58*(W1=Założenia!$D$16)</f>
        <v>0</v>
      </c>
      <c r="X7" s="7">
        <f>$D$58*(X1=Założenia!$D$16)</f>
        <v>0</v>
      </c>
      <c r="Y7" s="7">
        <f>$D$58*(Y1=Założenia!$D$16)</f>
        <v>0</v>
      </c>
      <c r="Z7" s="7">
        <f>$D$58*(Z1=Założenia!$D$16)</f>
        <v>0</v>
      </c>
      <c r="AA7" s="7">
        <f>$D$58*(AA1=Założenia!$D$16)</f>
        <v>0</v>
      </c>
      <c r="AB7" s="7">
        <f>$D$58*(AB1=Założenia!$D$16)</f>
        <v>0</v>
      </c>
    </row>
    <row r="8" spans="1:28">
      <c r="A8" t="s">
        <v>264</v>
      </c>
      <c r="B8" s="13" t="s">
        <v>17</v>
      </c>
      <c r="E8" s="7">
        <f>(-E3-E4-E5+E6+E7)*(E1&lt;=Założenia!$D$16)</f>
        <v>0</v>
      </c>
      <c r="F8" s="7">
        <f>(-F3-F4-F5+F6+F7)*(F1&lt;=Założenia!$D$16)</f>
        <v>0</v>
      </c>
      <c r="G8" s="7">
        <f>(-G3-G4-G5+G6+G7)*(G1&lt;=Założenia!$D$16)</f>
        <v>-3000</v>
      </c>
      <c r="H8" s="7">
        <f>(-H3-H4-H5+H6+H7)*(H1&lt;=Założenia!$D$16)</f>
        <v>-13437000</v>
      </c>
      <c r="I8" s="7">
        <f>(-I3-I4-I5+I6+I7)*(I1&lt;=Założenia!$D$16)</f>
        <v>-14845000</v>
      </c>
      <c r="J8" s="7">
        <f>(-J3-J4-J5+J6+J7)*(J1&lt;=Założenia!$D$16)</f>
        <v>712000</v>
      </c>
      <c r="K8" s="7">
        <f>(-K3-K4-K5+K6+K7)*(K1&lt;=Założenia!$D$16)</f>
        <v>1312000</v>
      </c>
      <c r="L8" s="7">
        <f>(-L3-L4-L5+L6+L7)*(L1&lt;=Założenia!$D$16)</f>
        <v>712000</v>
      </c>
      <c r="M8" s="7">
        <f>(-M3-M4-M5+M6+M7)*(M1&lt;=Założenia!$D$16)</f>
        <v>712000</v>
      </c>
      <c r="N8" s="7">
        <f>(-N3-N4-N5+N6+N7)*(N1&lt;=Założenia!$D$16)</f>
        <v>712000</v>
      </c>
      <c r="O8" s="7">
        <f>(-O3-O4-O5+O6+O7)*(O1&lt;=Założenia!$D$16)</f>
        <v>712000</v>
      </c>
      <c r="P8" s="7">
        <f>(-P3-P4-P5+P6+P7)*(P1&lt;=Założenia!$D$16)</f>
        <v>812000</v>
      </c>
      <c r="Q8" s="7">
        <f>(-Q3-Q4-Q5+Q6+Q7)*(Q1&lt;=Założenia!$D$16)</f>
        <v>712000</v>
      </c>
      <c r="R8" s="7">
        <f>(-R3-R4-R5+R6+R7)*(R1&lt;=Założenia!$D$16)</f>
        <v>212000</v>
      </c>
      <c r="S8" s="7">
        <f>(-S3-S4-S5+S6+S7)*(S1&lt;=Założenia!$D$16)</f>
        <v>712000</v>
      </c>
      <c r="T8" s="7">
        <f>(-T3-T4-T5+T6+T7)*(T1&lt;=Założenia!$D$16)</f>
        <v>712000</v>
      </c>
      <c r="U8" s="7">
        <f>(-U3-U4-U5+U6+U7)*(U1&lt;=Założenia!$D$16)</f>
        <v>712000</v>
      </c>
      <c r="V8" s="7">
        <f>(-V3-V4-V5+V6+V7)*(V1&lt;=Założenia!$D$16)</f>
        <v>2083916.2494310425</v>
      </c>
      <c r="W8" s="7">
        <f>(-W3-W4-W5+W6+W7)*(W1&lt;=Założenia!$D$16)</f>
        <v>0</v>
      </c>
      <c r="X8" s="7">
        <f>(-X3-X4-X5+X6+X7)*(X1&lt;=Założenia!$D$16)</f>
        <v>0</v>
      </c>
      <c r="Y8" s="7">
        <f>(-Y3-Y4-Y5+Y6+Y7)*(Y1&lt;=Założenia!$D$16)</f>
        <v>0</v>
      </c>
      <c r="Z8" s="7">
        <f>(-Z3-Z4-Z5+Z6+Z7)*(Z1&lt;=Założenia!$D$16)</f>
        <v>0</v>
      </c>
      <c r="AA8" s="7">
        <f>(-AA3-AA4-AA5+AA6+AA7)*(AA1&lt;=Założenia!$D$16)</f>
        <v>0</v>
      </c>
      <c r="AB8" s="7">
        <f>(-AB3-AB4-AB5+AB6+AB7)*(AB1&lt;=Założenia!$D$16)</f>
        <v>0</v>
      </c>
    </row>
    <row r="9" spans="1:28">
      <c r="A9" t="s">
        <v>265</v>
      </c>
      <c r="B9" s="13" t="s">
        <v>17</v>
      </c>
      <c r="E9" s="7">
        <f>E8*Założenia!E$19</f>
        <v>0</v>
      </c>
      <c r="F9" s="7">
        <f>F8*Założenia!F$19</f>
        <v>0</v>
      </c>
      <c r="G9" s="7">
        <f>G8*Założenia!G$19</f>
        <v>-3000</v>
      </c>
      <c r="H9" s="7">
        <f>H8*Założenia!H$19</f>
        <v>-13437000</v>
      </c>
      <c r="I9" s="7">
        <f>I8*Założenia!I$19</f>
        <v>-14274038.46153846</v>
      </c>
      <c r="J9" s="7">
        <f>J8*Założenia!J$19</f>
        <v>658284.02366863901</v>
      </c>
      <c r="K9" s="7">
        <f>K8*Założenia!K$19</f>
        <v>1166363.2225762403</v>
      </c>
      <c r="L9" s="7">
        <f>L8*Założenia!L$19</f>
        <v>608620.58401316474</v>
      </c>
      <c r="M9" s="7">
        <f>M8*Założenia!M$19</f>
        <v>585212.10001265828</v>
      </c>
      <c r="N9" s="7">
        <f>N8*Założenia!N$19</f>
        <v>562703.94231986371</v>
      </c>
      <c r="O9" s="7">
        <f>O8*Założenia!O$19</f>
        <v>541061.48299986904</v>
      </c>
      <c r="P9" s="7">
        <f>P8*Założenia!P$19</f>
        <v>593320.44646161085</v>
      </c>
      <c r="Q9" s="7">
        <f>Q8*Założenia!Q$19</f>
        <v>500241.75573212729</v>
      </c>
      <c r="R9" s="7">
        <f>R8*Założenia!R$19</f>
        <v>143219.6037910693</v>
      </c>
      <c r="S9" s="7">
        <f>S8*Założenia!S$19</f>
        <v>462501.62327304675</v>
      </c>
      <c r="T9" s="7">
        <f>T8*Założenia!T$19</f>
        <v>444713.09930100635</v>
      </c>
      <c r="U9" s="7">
        <f>U8*Założenia!U$19</f>
        <v>427608.74932789075</v>
      </c>
      <c r="V9" s="7">
        <f>V8*Założenia!V$19</f>
        <v>1203409.7087338981</v>
      </c>
      <c r="W9" s="7">
        <f>W8*Założenia!W$19</f>
        <v>0</v>
      </c>
      <c r="X9" s="7">
        <f>X8*Założenia!X$19</f>
        <v>0</v>
      </c>
      <c r="Y9" s="7">
        <f>Y8*Założenia!Y$19</f>
        <v>0</v>
      </c>
      <c r="Z9" s="7">
        <f>Z8*Założenia!Z$19</f>
        <v>0</v>
      </c>
      <c r="AA9" s="7">
        <f>AA8*Założenia!AA$19</f>
        <v>0</v>
      </c>
      <c r="AB9" s="7">
        <f>AB8*Założenia!AB$19</f>
        <v>0</v>
      </c>
    </row>
    <row r="10" spans="1:28">
      <c r="A10" t="s">
        <v>272</v>
      </c>
      <c r="B10" s="13" t="s">
        <v>17</v>
      </c>
      <c r="E10" s="7">
        <f>(E$1&lt;Założenia!$D$14)*0+(E$1=Założenia!$D$14)*SUM($E8:E8)+(E$1&gt;Założenia!$D$14)*E8</f>
        <v>0</v>
      </c>
      <c r="F10" s="7">
        <f>(F$1&lt;Założenia!$D$14)*0+(F$1=Założenia!$D$14)*SUM($E8:F8)+(F$1&gt;Założenia!$D$14)*F8</f>
        <v>0</v>
      </c>
      <c r="G10" s="7">
        <f>(G$1&lt;Założenia!$D$14)*0+(G$1=Założenia!$D$14)*SUM($E8:G8)+(G$1&gt;Założenia!$D$14)*G8</f>
        <v>0</v>
      </c>
      <c r="H10" s="7">
        <f>(H$1&lt;Założenia!$D$14)*0+(H$1=Założenia!$D$14)*SUM($E8:H8)+(H$1&gt;Założenia!$D$14)*H8</f>
        <v>-13440000</v>
      </c>
      <c r="I10" s="7">
        <f>(I$1&lt;Założenia!$D$14)*0+(I$1=Założenia!$D$14)*SUM($E8:I8)+(I$1&gt;Założenia!$D$14)*I8</f>
        <v>-14845000</v>
      </c>
      <c r="J10" s="7">
        <f>(J$1&lt;Założenia!$D$14)*0+(J$1=Założenia!$D$14)*SUM($E8:J8)+(J$1&gt;Założenia!$D$14)*J8</f>
        <v>712000</v>
      </c>
      <c r="K10" s="7">
        <f>(K$1&lt;Założenia!$D$14)*0+(K$1=Założenia!$D$14)*SUM($E8:K8)+(K$1&gt;Założenia!$D$14)*K8</f>
        <v>1312000</v>
      </c>
      <c r="L10" s="7">
        <f>(L$1&lt;Założenia!$D$14)*0+(L$1=Założenia!$D$14)*SUM($E8:L8)+(L$1&gt;Założenia!$D$14)*L8</f>
        <v>712000</v>
      </c>
      <c r="M10" s="7">
        <f>(M$1&lt;Założenia!$D$14)*0+(M$1=Założenia!$D$14)*SUM($E8:M8)+(M$1&gt;Założenia!$D$14)*M8</f>
        <v>712000</v>
      </c>
      <c r="N10" s="7">
        <f>(N$1&lt;Założenia!$D$14)*0+(N$1=Założenia!$D$14)*SUM($E8:N8)+(N$1&gt;Założenia!$D$14)*N8</f>
        <v>712000</v>
      </c>
      <c r="O10" s="7">
        <f>(O$1&lt;Założenia!$D$14)*0+(O$1=Założenia!$D$14)*SUM($E8:O8)+(O$1&gt;Założenia!$D$14)*O8</f>
        <v>712000</v>
      </c>
      <c r="P10" s="7">
        <f>(P$1&lt;Założenia!$D$14)*0+(P$1=Założenia!$D$14)*SUM($E8:P8)+(P$1&gt;Założenia!$D$14)*P8</f>
        <v>812000</v>
      </c>
      <c r="Q10" s="7">
        <f>(Q$1&lt;Założenia!$D$14)*0+(Q$1=Założenia!$D$14)*SUM($E8:Q8)+(Q$1&gt;Założenia!$D$14)*Q8</f>
        <v>712000</v>
      </c>
      <c r="R10" s="7">
        <f>(R$1&lt;Założenia!$D$14)*0+(R$1=Założenia!$D$14)*SUM($E8:R8)+(R$1&gt;Założenia!$D$14)*R8</f>
        <v>212000</v>
      </c>
      <c r="S10" s="7">
        <f>(S$1&lt;Założenia!$D$14)*0+(S$1=Założenia!$D$14)*SUM($E8:S8)+(S$1&gt;Założenia!$D$14)*S8</f>
        <v>712000</v>
      </c>
      <c r="T10" s="7">
        <f>(T$1&lt;Założenia!$D$14)*0+(T$1=Założenia!$D$14)*SUM($E8:T8)+(T$1&gt;Założenia!$D$14)*T8</f>
        <v>712000</v>
      </c>
      <c r="U10" s="7">
        <f>(U$1&lt;Założenia!$D$14)*0+(U$1=Założenia!$D$14)*SUM($E8:U8)+(U$1&gt;Założenia!$D$14)*U8</f>
        <v>712000</v>
      </c>
      <c r="V10" s="7">
        <f>(V$1&lt;Założenia!$D$14)*0+(V$1=Założenia!$D$14)*SUM($E8:V8)+(V$1&gt;Założenia!$D$14)*V8</f>
        <v>2083916.2494310425</v>
      </c>
      <c r="W10" s="7">
        <f>(W$1&lt;Założenia!$D$14)*0+(W$1=Założenia!$D$14)*SUM($E8:W8)+(W$1&gt;Założenia!$D$14)*W8</f>
        <v>0</v>
      </c>
      <c r="X10" s="7">
        <f>(X$1&lt;Założenia!$D$14)*0+(X$1=Założenia!$D$14)*SUM($E8:X8)+(X$1&gt;Założenia!$D$14)*X8</f>
        <v>0</v>
      </c>
      <c r="Y10" s="7">
        <f>(Y$1&lt;Założenia!$D$14)*0+(Y$1=Założenia!$D$14)*SUM($E8:Y8)+(Y$1&gt;Założenia!$D$14)*Y8</f>
        <v>0</v>
      </c>
      <c r="Z10" s="7">
        <f>(Z$1&lt;Założenia!$D$14)*0+(Z$1=Założenia!$D$14)*SUM($E8:Z8)+(Z$1&gt;Założenia!$D$14)*Z8</f>
        <v>0</v>
      </c>
      <c r="AA10" s="7">
        <f>(AA$1&lt;Założenia!$D$14)*0+(AA$1=Założenia!$D$14)*SUM($E8:AA8)+(AA$1&gt;Założenia!$D$14)*AA8</f>
        <v>0</v>
      </c>
      <c r="AB10" s="7">
        <f>(AB$1&lt;Założenia!$D$14)*0+(AB$1=Założenia!$D$14)*SUM($E8:AB8)+(AB$1&gt;Założenia!$D$14)*AB8</f>
        <v>0</v>
      </c>
    </row>
    <row r="12" spans="1:28">
      <c r="A12" s="34" t="s">
        <v>266</v>
      </c>
      <c r="B12" s="78" t="s">
        <v>17</v>
      </c>
      <c r="C12" s="34"/>
      <c r="D12" s="79">
        <f>SUM(E9:AB9)</f>
        <v>-19816778.119327374</v>
      </c>
    </row>
    <row r="13" spans="1:28">
      <c r="A13" s="34" t="s">
        <v>267</v>
      </c>
      <c r="B13" s="78" t="s">
        <v>13</v>
      </c>
      <c r="C13" s="34"/>
      <c r="D13" s="91">
        <f ca="1">IRR(OFFSET(A10:AB10,0,MATCH(Założenia!$D$14,AnalizaFin!A1:AB1,0)-1),-0.1)</f>
        <v>-0.10350287724358709</v>
      </c>
    </row>
    <row r="15" spans="1:28">
      <c r="A15" t="s">
        <v>285</v>
      </c>
      <c r="E15" s="7">
        <f>E65*(E1&lt;=Założenia!$D$16)</f>
        <v>0</v>
      </c>
      <c r="F15" s="7">
        <f>F65*(F1&lt;=Założenia!$D$16)</f>
        <v>0</v>
      </c>
      <c r="G15" s="7">
        <f>G65*(G1&lt;=Założenia!$D$16)</f>
        <v>450</v>
      </c>
      <c r="H15" s="7">
        <f>H65*(H1&lt;=Założenia!$D$16)</f>
        <v>1515550</v>
      </c>
      <c r="I15" s="7">
        <f>I65*(I1&lt;=Założenia!$D$16)</f>
        <v>1729300</v>
      </c>
      <c r="J15" s="7">
        <f>J65*(J1&lt;=Założenia!$D$16)</f>
        <v>0</v>
      </c>
      <c r="K15" s="7">
        <f>K65*(K1&lt;=Założenia!$D$16)</f>
        <v>0</v>
      </c>
      <c r="L15" s="7">
        <f>L65*(L1&lt;=Założenia!$D$16)</f>
        <v>0</v>
      </c>
      <c r="M15" s="7">
        <f>M65*(M1&lt;=Założenia!$D$16)</f>
        <v>0</v>
      </c>
      <c r="N15" s="7">
        <f>N65*(N1&lt;=Założenia!$D$16)</f>
        <v>0</v>
      </c>
      <c r="O15" s="7">
        <f>O65*(O1&lt;=Założenia!$D$16)</f>
        <v>0</v>
      </c>
      <c r="P15" s="7">
        <f>P65*(P1&lt;=Założenia!$D$16)</f>
        <v>0</v>
      </c>
      <c r="Q15" s="7">
        <f>Q65*(Q1&lt;=Założenia!$D$16)</f>
        <v>0</v>
      </c>
      <c r="R15" s="7">
        <f>R65*(R1&lt;=Założenia!$D$16)</f>
        <v>0</v>
      </c>
      <c r="S15" s="7">
        <f>S65*(S1&lt;=Założenia!$D$16)</f>
        <v>0</v>
      </c>
      <c r="T15" s="7">
        <f>T65*(T1&lt;=Założenia!$D$16)</f>
        <v>0</v>
      </c>
      <c r="U15" s="7">
        <f>U65*(U1&lt;=Założenia!$D$16)</f>
        <v>0</v>
      </c>
      <c r="V15" s="7">
        <f>V65*(V1&lt;=Założenia!$D$16)</f>
        <v>0</v>
      </c>
      <c r="W15" s="7">
        <f>W65*(W1&lt;=Założenia!$D$16)</f>
        <v>0</v>
      </c>
      <c r="X15" s="7">
        <f>X65*(X1&lt;=Założenia!$D$16)</f>
        <v>0</v>
      </c>
      <c r="Y15" s="7">
        <f>Y65*(Y1&lt;=Założenia!$D$16)</f>
        <v>0</v>
      </c>
      <c r="Z15" s="7">
        <f>Z65*(Z1&lt;=Założenia!$D$16)</f>
        <v>0</v>
      </c>
      <c r="AA15" s="7">
        <f>AA65*(AA1&lt;=Założenia!$D$16)</f>
        <v>0</v>
      </c>
      <c r="AB15" s="7">
        <f>AB65*(AB1&lt;=Założenia!$D$16)</f>
        <v>0</v>
      </c>
    </row>
    <row r="16" spans="1:28">
      <c r="A16" t="s">
        <v>287</v>
      </c>
      <c r="E16" s="7">
        <f>E69*(E1&lt;=Założenia!$D$16)</f>
        <v>0</v>
      </c>
      <c r="F16" s="7">
        <f>F69*(F1&lt;=Założenia!$D$16)</f>
        <v>0</v>
      </c>
      <c r="G16" s="7">
        <f>G69*(G1&lt;=Założenia!$D$16)</f>
        <v>0</v>
      </c>
      <c r="H16" s="7">
        <f>H69*(H1&lt;=Założenia!$D$16)</f>
        <v>0</v>
      </c>
      <c r="I16" s="7">
        <f>I69*(I1&lt;=Założenia!$D$16)</f>
        <v>0</v>
      </c>
      <c r="J16" s="7">
        <f>J69*(J1&lt;=Założenia!$D$16)</f>
        <v>200000</v>
      </c>
      <c r="K16" s="7">
        <f>K69*(K1&lt;=Założenia!$D$16)</f>
        <v>200000</v>
      </c>
      <c r="L16" s="7">
        <f>L69*(L1&lt;=Założenia!$D$16)</f>
        <v>200000</v>
      </c>
      <c r="M16" s="7">
        <f>M69*(M1&lt;=Założenia!$D$16)</f>
        <v>200000</v>
      </c>
      <c r="N16" s="7">
        <f>N69*(N1&lt;=Założenia!$D$16)</f>
        <v>200000</v>
      </c>
      <c r="O16" s="7">
        <f>O69*(O1&lt;=Założenia!$D$16)</f>
        <v>0</v>
      </c>
      <c r="P16" s="7">
        <f>P69*(P1&lt;=Założenia!$D$16)</f>
        <v>0</v>
      </c>
      <c r="Q16" s="7">
        <f>Q69*(Q1&lt;=Założenia!$D$16)</f>
        <v>0</v>
      </c>
      <c r="R16" s="7">
        <f>R69*(R1&lt;=Założenia!$D$16)</f>
        <v>0</v>
      </c>
      <c r="S16" s="7">
        <f>S69*(S1&lt;=Założenia!$D$16)</f>
        <v>0</v>
      </c>
      <c r="T16" s="7">
        <f>T69*(T1&lt;=Założenia!$D$16)</f>
        <v>0</v>
      </c>
      <c r="U16" s="7">
        <f>U69*(U1&lt;=Założenia!$D$16)</f>
        <v>0</v>
      </c>
      <c r="V16" s="7">
        <f>V69*(V1&lt;=Założenia!$D$16)</f>
        <v>0</v>
      </c>
      <c r="W16" s="7">
        <f>W69*(W1&lt;=Założenia!$D$16)</f>
        <v>0</v>
      </c>
      <c r="X16" s="7">
        <f>X69*(X1&lt;=Założenia!$D$16)</f>
        <v>0</v>
      </c>
      <c r="Y16" s="7">
        <f>Y69*(Y1&lt;=Założenia!$D$16)</f>
        <v>0</v>
      </c>
      <c r="Z16" s="7">
        <f>Z69*(Z1&lt;=Założenia!$D$16)</f>
        <v>0</v>
      </c>
      <c r="AA16" s="7">
        <f>AA69*(AA1&lt;=Założenia!$D$16)</f>
        <v>0</v>
      </c>
      <c r="AB16" s="7">
        <f>AB69*(AB1&lt;=Założenia!$D$16)</f>
        <v>0</v>
      </c>
    </row>
    <row r="17" spans="1:28">
      <c r="A17" t="s">
        <v>100</v>
      </c>
      <c r="E17" s="7">
        <f>E70*(E1&lt;=Założenia!$D$16)</f>
        <v>0</v>
      </c>
      <c r="F17" s="7">
        <f>F70*(F1&lt;=Założenia!$D$16)</f>
        <v>0</v>
      </c>
      <c r="G17" s="7">
        <f>G70*(G1&lt;=Założenia!$D$16)</f>
        <v>0</v>
      </c>
      <c r="H17" s="7">
        <f>H70*(H1&lt;=Założenia!$D$16)</f>
        <v>15000</v>
      </c>
      <c r="I17" s="7">
        <f>I70*(I1&lt;=Założenia!$D$16)</f>
        <v>45000</v>
      </c>
      <c r="J17" s="7">
        <f>J70*(J1&lt;=Założenia!$D$16)</f>
        <v>60000</v>
      </c>
      <c r="K17" s="7">
        <f>K70*(K1&lt;=Założenia!$D$16)</f>
        <v>48000</v>
      </c>
      <c r="L17" s="7">
        <f>L70*(L1&lt;=Założenia!$D$16)</f>
        <v>36000</v>
      </c>
      <c r="M17" s="7">
        <f>M70*(M1&lt;=Założenia!$D$16)</f>
        <v>24000</v>
      </c>
      <c r="N17" s="7">
        <f>N70*(N1&lt;=Założenia!$D$16)</f>
        <v>12000</v>
      </c>
      <c r="O17" s="7">
        <f>O70*(O1&lt;=Założenia!$D$16)</f>
        <v>0</v>
      </c>
      <c r="P17" s="7">
        <f>P70*(P1&lt;=Założenia!$D$16)</f>
        <v>0</v>
      </c>
      <c r="Q17" s="7">
        <f>Q70*(Q1&lt;=Założenia!$D$16)</f>
        <v>0</v>
      </c>
      <c r="R17" s="7">
        <f>R70*(R1&lt;=Założenia!$D$16)</f>
        <v>0</v>
      </c>
      <c r="S17" s="7">
        <f>S70*(S1&lt;=Założenia!$D$16)</f>
        <v>0</v>
      </c>
      <c r="T17" s="7">
        <f>T70*(T1&lt;=Założenia!$D$16)</f>
        <v>0</v>
      </c>
      <c r="U17" s="7">
        <f>U70*(U1&lt;=Założenia!$D$16)</f>
        <v>0</v>
      </c>
      <c r="V17" s="7">
        <f>V70*(V1&lt;=Założenia!$D$16)</f>
        <v>0</v>
      </c>
      <c r="W17" s="7">
        <f>W70*(W1&lt;=Założenia!$D$16)</f>
        <v>0</v>
      </c>
      <c r="X17" s="7">
        <f>X70*(X1&lt;=Założenia!$D$16)</f>
        <v>0</v>
      </c>
      <c r="Y17" s="7">
        <f>Y70*(Y1&lt;=Założenia!$D$16)</f>
        <v>0</v>
      </c>
      <c r="Z17" s="7">
        <f>Z70*(Z1&lt;=Założenia!$D$16)</f>
        <v>0</v>
      </c>
      <c r="AA17" s="7">
        <f>AA70*(AA1&lt;=Założenia!$D$16)</f>
        <v>0</v>
      </c>
      <c r="AB17" s="7">
        <f>AB70*(AB1&lt;=Założenia!$D$16)</f>
        <v>0</v>
      </c>
    </row>
    <row r="18" spans="1:28">
      <c r="A18" t="s">
        <v>44</v>
      </c>
      <c r="E18" s="7">
        <f>E4*(E1&lt;=Założenia!$D$16)</f>
        <v>0</v>
      </c>
      <c r="F18" s="7">
        <f>F4*(F1&lt;=Założenia!$D$16)</f>
        <v>0</v>
      </c>
      <c r="G18" s="7">
        <f>G4*(G1&lt;=Założenia!$D$16)</f>
        <v>0</v>
      </c>
      <c r="H18" s="7">
        <f>H4*(H1&lt;=Założenia!$D$16)</f>
        <v>0</v>
      </c>
      <c r="I18" s="7">
        <f>I4*(I1&lt;=Założenia!$D$16)</f>
        <v>0</v>
      </c>
      <c r="J18" s="7">
        <f>J4*(J1&lt;=Założenia!$D$16)</f>
        <v>0</v>
      </c>
      <c r="K18" s="7">
        <f>K4*(K1&lt;=Założenia!$D$16)</f>
        <v>-600000</v>
      </c>
      <c r="L18" s="7">
        <f>L4*(L1&lt;=Założenia!$D$16)</f>
        <v>0</v>
      </c>
      <c r="M18" s="7">
        <f>M4*(M1&lt;=Założenia!$D$16)</f>
        <v>0</v>
      </c>
      <c r="N18" s="7">
        <f>N4*(N1&lt;=Założenia!$D$16)</f>
        <v>0</v>
      </c>
      <c r="O18" s="7">
        <f>O4*(O1&lt;=Założenia!$D$16)</f>
        <v>0</v>
      </c>
      <c r="P18" s="7">
        <f>P4*(P1&lt;=Założenia!$D$16)</f>
        <v>-100000</v>
      </c>
      <c r="Q18" s="7">
        <f>Q4*(Q1&lt;=Założenia!$D$16)</f>
        <v>0</v>
      </c>
      <c r="R18" s="7">
        <f>R4*(R1&lt;=Założenia!$D$16)</f>
        <v>500000</v>
      </c>
      <c r="S18" s="7">
        <f>S4*(S1&lt;=Założenia!$D$16)</f>
        <v>0</v>
      </c>
      <c r="T18" s="7">
        <f>T4*(T1&lt;=Założenia!$D$16)</f>
        <v>0</v>
      </c>
      <c r="U18" s="7">
        <f>U4*(U1&lt;=Założenia!$D$16)</f>
        <v>0</v>
      </c>
      <c r="V18" s="7">
        <f>V4*(V1&lt;=Założenia!$D$16)</f>
        <v>0</v>
      </c>
      <c r="W18" s="7">
        <f>W4*(W1&lt;=Założenia!$D$16)</f>
        <v>0</v>
      </c>
      <c r="X18" s="7">
        <f>X4*(X1&lt;=Założenia!$D$16)</f>
        <v>0</v>
      </c>
      <c r="Y18" s="7">
        <f>Y4*(Y1&lt;=Założenia!$D$16)</f>
        <v>0</v>
      </c>
      <c r="Z18" s="7">
        <f>Z4*(Z1&lt;=Założenia!$D$16)</f>
        <v>0</v>
      </c>
      <c r="AA18" s="7">
        <f>AA4*(AA1&lt;=Założenia!$D$16)</f>
        <v>0</v>
      </c>
      <c r="AB18" s="7">
        <f>AB4*(AB1&lt;=Założenia!$D$16)</f>
        <v>0</v>
      </c>
    </row>
    <row r="19" spans="1:28">
      <c r="A19" t="s">
        <v>166</v>
      </c>
      <c r="E19" s="7">
        <f>E5*(E1&lt;=Założenia!$D$16)</f>
        <v>0</v>
      </c>
      <c r="F19" s="7">
        <f>F5*(F1&lt;=Założenia!$D$16)</f>
        <v>0</v>
      </c>
      <c r="G19" s="7">
        <f>G5*(G1&lt;=Założenia!$D$16)</f>
        <v>0</v>
      </c>
      <c r="H19" s="7">
        <f>H5*(H1&lt;=Założenia!$D$16)</f>
        <v>0</v>
      </c>
      <c r="I19" s="7">
        <f>I5*(I1&lt;=Założenia!$D$16)</f>
        <v>0</v>
      </c>
      <c r="J19" s="7">
        <f>J5*(J1&lt;=Założenia!$D$16)</f>
        <v>-640000</v>
      </c>
      <c r="K19" s="7">
        <f>K5*(K1&lt;=Założenia!$D$16)</f>
        <v>-640000</v>
      </c>
      <c r="L19" s="7">
        <f>L5*(L1&lt;=Założenia!$D$16)</f>
        <v>-640000</v>
      </c>
      <c r="M19" s="7">
        <f>M5*(M1&lt;=Założenia!$D$16)</f>
        <v>-640000</v>
      </c>
      <c r="N19" s="7">
        <f>N5*(N1&lt;=Założenia!$D$16)</f>
        <v>-640000</v>
      </c>
      <c r="O19" s="7">
        <f>O5*(O1&lt;=Założenia!$D$16)</f>
        <v>-640000</v>
      </c>
      <c r="P19" s="7">
        <f>P5*(P1&lt;=Założenia!$D$16)</f>
        <v>-640000</v>
      </c>
      <c r="Q19" s="7">
        <f>Q5*(Q1&lt;=Założenia!$D$16)</f>
        <v>-640000</v>
      </c>
      <c r="R19" s="7">
        <f>R5*(R1&lt;=Założenia!$D$16)</f>
        <v>-640000</v>
      </c>
      <c r="S19" s="7">
        <f>S5*(S1&lt;=Założenia!$D$16)</f>
        <v>-640000</v>
      </c>
      <c r="T19" s="7">
        <f>T5*(T1&lt;=Założenia!$D$16)</f>
        <v>-640000</v>
      </c>
      <c r="U19" s="7">
        <f>U5*(U1&lt;=Założenia!$D$16)</f>
        <v>-640000</v>
      </c>
      <c r="V19" s="7">
        <f>V5*(V1&lt;=Założenia!$D$16)</f>
        <v>-640000</v>
      </c>
      <c r="W19" s="7">
        <f>W5*(W1&lt;=Założenia!$D$16)</f>
        <v>0</v>
      </c>
      <c r="X19" s="7">
        <f>X5*(X1&lt;=Założenia!$D$16)</f>
        <v>0</v>
      </c>
      <c r="Y19" s="7">
        <f>Y5*(Y1&lt;=Założenia!$D$16)</f>
        <v>0</v>
      </c>
      <c r="Z19" s="7">
        <f>Z5*(Z1&lt;=Założenia!$D$16)</f>
        <v>0</v>
      </c>
      <c r="AA19" s="7">
        <f>AA5*(AA1&lt;=Założenia!$D$16)</f>
        <v>0</v>
      </c>
      <c r="AB19" s="7">
        <f>AB5*(AB1&lt;=Założenia!$D$16)</f>
        <v>0</v>
      </c>
    </row>
    <row r="20" spans="1:28">
      <c r="A20" t="s">
        <v>50</v>
      </c>
      <c r="E20" s="7">
        <f>E6*(E1&lt;=Założenia!$D$16)</f>
        <v>0</v>
      </c>
      <c r="F20" s="7">
        <f>F6*(F1&lt;=Założenia!$D$16)</f>
        <v>0</v>
      </c>
      <c r="G20" s="7">
        <f>G6*(G1&lt;=Założenia!$D$16)</f>
        <v>0</v>
      </c>
      <c r="H20" s="7">
        <f>H6*(H1&lt;=Założenia!$D$16)</f>
        <v>0</v>
      </c>
      <c r="I20" s="7">
        <f>I6*(I1&lt;=Założenia!$D$16)</f>
        <v>0</v>
      </c>
      <c r="J20" s="7">
        <f>J6*(J1&lt;=Założenia!$D$16)</f>
        <v>72000</v>
      </c>
      <c r="K20" s="7">
        <f>K6*(K1&lt;=Założenia!$D$16)</f>
        <v>72000</v>
      </c>
      <c r="L20" s="7">
        <f>L6*(L1&lt;=Założenia!$D$16)</f>
        <v>72000</v>
      </c>
      <c r="M20" s="7">
        <f>M6*(M1&lt;=Założenia!$D$16)</f>
        <v>72000</v>
      </c>
      <c r="N20" s="7">
        <f>N6*(N1&lt;=Założenia!$D$16)</f>
        <v>72000</v>
      </c>
      <c r="O20" s="7">
        <f>O6*(O1&lt;=Założenia!$D$16)</f>
        <v>72000</v>
      </c>
      <c r="P20" s="7">
        <f>P6*(P1&lt;=Założenia!$D$16)</f>
        <v>72000</v>
      </c>
      <c r="Q20" s="7">
        <f>Q6*(Q1&lt;=Założenia!$D$16)</f>
        <v>72000</v>
      </c>
      <c r="R20" s="7">
        <f>R6*(R1&lt;=Założenia!$D$16)</f>
        <v>72000</v>
      </c>
      <c r="S20" s="7">
        <f>S6*(S1&lt;=Założenia!$D$16)</f>
        <v>72000</v>
      </c>
      <c r="T20" s="7">
        <f>T6*(T1&lt;=Założenia!$D$16)</f>
        <v>72000</v>
      </c>
      <c r="U20" s="7">
        <f>U6*(U1&lt;=Założenia!$D$16)</f>
        <v>72000</v>
      </c>
      <c r="V20" s="7">
        <f>V6*(V1&lt;=Założenia!$D$16)</f>
        <v>72000</v>
      </c>
      <c r="W20" s="7">
        <f>W6*(W1&lt;=Założenia!$D$16)</f>
        <v>0</v>
      </c>
      <c r="X20" s="7">
        <f>X6*(X1&lt;=Założenia!$D$16)</f>
        <v>0</v>
      </c>
      <c r="Y20" s="7">
        <f>Y6*(Y1&lt;=Założenia!$D$16)</f>
        <v>0</v>
      </c>
      <c r="Z20" s="7">
        <f>Z6*(Z1&lt;=Założenia!$D$16)</f>
        <v>0</v>
      </c>
      <c r="AA20" s="7">
        <f>AA6*(AA1&lt;=Założenia!$D$16)</f>
        <v>0</v>
      </c>
      <c r="AB20" s="7">
        <f>AB6*(AB1&lt;=Założenia!$D$16)</f>
        <v>0</v>
      </c>
    </row>
    <row r="21" spans="1:28">
      <c r="A21" t="s">
        <v>56</v>
      </c>
      <c r="E21" s="7">
        <f>E7*(E1&lt;=Założenia!$D$16)</f>
        <v>0</v>
      </c>
      <c r="F21" s="7">
        <f>F7*(F1&lt;=Założenia!$D$16)</f>
        <v>0</v>
      </c>
      <c r="G21" s="7">
        <f>G7*(G1&lt;=Założenia!$D$16)</f>
        <v>0</v>
      </c>
      <c r="H21" s="7">
        <f>H7*(H1&lt;=Założenia!$D$16)</f>
        <v>0</v>
      </c>
      <c r="I21" s="7">
        <f>I7*(I1&lt;=Założenia!$D$16)</f>
        <v>0</v>
      </c>
      <c r="J21" s="7">
        <f>J7*(J1&lt;=Założenia!$D$16)</f>
        <v>0</v>
      </c>
      <c r="K21" s="7">
        <f>K7*(K1&lt;=Założenia!$D$16)</f>
        <v>0</v>
      </c>
      <c r="L21" s="7">
        <f>L7*(L1&lt;=Założenia!$D$16)</f>
        <v>0</v>
      </c>
      <c r="M21" s="7">
        <f>M7*(M1&lt;=Założenia!$D$16)</f>
        <v>0</v>
      </c>
      <c r="N21" s="7">
        <f>N7*(N1&lt;=Założenia!$D$16)</f>
        <v>0</v>
      </c>
      <c r="O21" s="7">
        <f>O7*(O1&lt;=Założenia!$D$16)</f>
        <v>0</v>
      </c>
      <c r="P21" s="7">
        <f>P7*(P1&lt;=Założenia!$D$16)</f>
        <v>0</v>
      </c>
      <c r="Q21" s="7">
        <f>Q7*(Q1&lt;=Założenia!$D$16)</f>
        <v>0</v>
      </c>
      <c r="R21" s="7">
        <f>R7*(R1&lt;=Założenia!$D$16)</f>
        <v>0</v>
      </c>
      <c r="S21" s="7">
        <f>S7*(S1&lt;=Założenia!$D$16)</f>
        <v>0</v>
      </c>
      <c r="T21" s="7">
        <f>T7*(T1&lt;=Założenia!$D$16)</f>
        <v>0</v>
      </c>
      <c r="U21" s="7">
        <f>U7*(U1&lt;=Założenia!$D$16)</f>
        <v>0</v>
      </c>
      <c r="V21" s="7">
        <f>V7*(V1&lt;=Założenia!$D$16)</f>
        <v>1371916.2494310425</v>
      </c>
      <c r="W21" s="7">
        <f>W7*(W1&lt;=Założenia!$D$16)</f>
        <v>0</v>
      </c>
      <c r="X21" s="7">
        <f>X7*(X1&lt;=Założenia!$D$16)</f>
        <v>0</v>
      </c>
      <c r="Y21" s="7">
        <f>Y7*(Y1&lt;=Założenia!$D$16)</f>
        <v>0</v>
      </c>
      <c r="Z21" s="7">
        <f>Z7*(Z1&lt;=Założenia!$D$16)</f>
        <v>0</v>
      </c>
      <c r="AA21" s="7">
        <f>AA7*(AA1&lt;=Założenia!$D$16)</f>
        <v>0</v>
      </c>
      <c r="AB21" s="7">
        <f>AB7*(AB1&lt;=Założenia!$D$16)</f>
        <v>0</v>
      </c>
    </row>
    <row r="22" spans="1:28">
      <c r="A22" t="s">
        <v>264</v>
      </c>
      <c r="E22" s="7">
        <f>(-E15-E16-E17-E18-E19+E20+E21)*(E1&lt;=Założenia!$D$16)</f>
        <v>0</v>
      </c>
      <c r="F22" s="7">
        <f>(-F15-F16-F17-F18-F19+F20+F21)*(F1&lt;=Założenia!$D$16)</f>
        <v>0</v>
      </c>
      <c r="G22" s="7">
        <f>(-G15-G16-G17-G18-G19+G20+G21)*(G1&lt;=Założenia!$D$16)</f>
        <v>-450</v>
      </c>
      <c r="H22" s="7">
        <f>(-H15-H16-H17-H18-H19+H20+H21)*(H1&lt;=Założenia!$D$16)</f>
        <v>-1530550</v>
      </c>
      <c r="I22" s="7">
        <f>(-I15-I16-I17-I18-I19+I20+I21)*(I1&lt;=Założenia!$D$16)</f>
        <v>-1774300</v>
      </c>
      <c r="J22" s="7">
        <f>(-J15-J16-J17-J18-J19+J20+J21)*(J1&lt;=Założenia!$D$16)</f>
        <v>452000</v>
      </c>
      <c r="K22" s="7">
        <f>(-K15-K16-K17-K18-K19+K20+K21)*(K1&lt;=Założenia!$D$16)</f>
        <v>1064000</v>
      </c>
      <c r="L22" s="7">
        <f>(-L15-L16-L17-L18-L19+L20+L21)*(L1&lt;=Założenia!$D$16)</f>
        <v>476000</v>
      </c>
      <c r="M22" s="7">
        <f>(-M15-M16-M17-M18-M19+M20+M21)*(M1&lt;=Założenia!$D$16)</f>
        <v>488000</v>
      </c>
      <c r="N22" s="7">
        <f>(-N15-N16-N17-N18-N19+N20+N21)*(N1&lt;=Założenia!$D$16)</f>
        <v>500000</v>
      </c>
      <c r="O22" s="7">
        <f>(-O15-O16-O17-O18-O19+O20+O21)*(O1&lt;=Założenia!$D$16)</f>
        <v>712000</v>
      </c>
      <c r="P22" s="7">
        <f>(-P15-P16-P17-P18-P19+P20+P21)*(P1&lt;=Założenia!$D$16)</f>
        <v>812000</v>
      </c>
      <c r="Q22" s="7">
        <f>(-Q15-Q16-Q17-Q18-Q19+Q20+Q21)*(Q1&lt;=Założenia!$D$16)</f>
        <v>712000</v>
      </c>
      <c r="R22" s="7">
        <f>(-R15-R16-R17-R18-R19+R20+R21)*(R1&lt;=Założenia!$D$16)</f>
        <v>212000</v>
      </c>
      <c r="S22" s="7">
        <f>(-S15-S16-S17-S18-S19+S20+S21)*(S1&lt;=Założenia!$D$16)</f>
        <v>712000</v>
      </c>
      <c r="T22" s="7">
        <f>(-T15-T16-T17-T18-T19+T20+T21)*(T1&lt;=Założenia!$D$16)</f>
        <v>712000</v>
      </c>
      <c r="U22" s="7">
        <f>(-U15-U16-U17-U18-U19+U20+U21)*(U1&lt;=Założenia!$D$16)</f>
        <v>712000</v>
      </c>
      <c r="V22" s="7">
        <f>(-V15-V16-V17-V18-V19+V20+V21)*(V1&lt;=Założenia!$D$16)</f>
        <v>2083916.2494310425</v>
      </c>
      <c r="W22" s="7">
        <f>(-W15-W16-W17-W18-W19+W20+W21)*(W1&lt;=Założenia!$D$16)</f>
        <v>0</v>
      </c>
      <c r="X22" s="7">
        <f>(-X15-X16-X17-X18-X19+X20+X21)*(X1&lt;=Założenia!$D$16)</f>
        <v>0</v>
      </c>
      <c r="Y22" s="7">
        <f>(-Y15-Y16-Y17-Y18-Y19+Y20+Y21)*(Y1&lt;=Założenia!$D$16)</f>
        <v>0</v>
      </c>
      <c r="Z22" s="7">
        <f>(-Z15-Z16-Z17-Z18-Z19+Z20+Z21)*(Z1&lt;=Założenia!$D$16)</f>
        <v>0</v>
      </c>
      <c r="AA22" s="7">
        <f>(-AA15-AA16-AA17-AA18-AA19+AA20+AA21)*(AA1&lt;=Założenia!$D$16)</f>
        <v>0</v>
      </c>
      <c r="AB22" s="7">
        <f>(-AB15-AB16-AB17-AB18-AB19+AB20+AB21)*(AB1&lt;=Założenia!$D$16)</f>
        <v>0</v>
      </c>
    </row>
    <row r="23" spans="1:28">
      <c r="A23" t="s">
        <v>265</v>
      </c>
      <c r="E23" s="7">
        <f>E22*Założenia!E$19</f>
        <v>0</v>
      </c>
      <c r="F23" s="7">
        <f>F22*Założenia!F$19</f>
        <v>0</v>
      </c>
      <c r="G23" s="7">
        <f>G22*Założenia!G$19</f>
        <v>-450</v>
      </c>
      <c r="H23" s="7">
        <f>H22*Założenia!H$19</f>
        <v>-1530550</v>
      </c>
      <c r="I23" s="7">
        <f>I22*Założenia!I$19</f>
        <v>-1706057.6923076923</v>
      </c>
      <c r="J23" s="7">
        <f>J22*Założenia!J$19</f>
        <v>417899.40828402364</v>
      </c>
      <c r="K23" s="7">
        <f>K22*Założenia!K$19</f>
        <v>945892.12562585343</v>
      </c>
      <c r="L23" s="7">
        <f>L22*Założenia!L$19</f>
        <v>406886.79493014945</v>
      </c>
      <c r="M23" s="7">
        <f>M22*Założenia!M$19</f>
        <v>401100.42809856357</v>
      </c>
      <c r="N23" s="7">
        <f>N22*Założenia!N$19</f>
        <v>395157.26286507287</v>
      </c>
      <c r="O23" s="7">
        <f>O22*Założenia!O$19</f>
        <v>541061.48299986904</v>
      </c>
      <c r="P23" s="7">
        <f>P22*Założenia!P$19</f>
        <v>593320.44646161085</v>
      </c>
      <c r="Q23" s="7">
        <f>Q22*Założenia!Q$19</f>
        <v>500241.75573212729</v>
      </c>
      <c r="R23" s="7">
        <f>R22*Założenia!R$19</f>
        <v>143219.6037910693</v>
      </c>
      <c r="S23" s="7">
        <f>S22*Założenia!S$19</f>
        <v>462501.62327304675</v>
      </c>
      <c r="T23" s="7">
        <f>T22*Założenia!T$19</f>
        <v>444713.09930100635</v>
      </c>
      <c r="U23" s="7">
        <f>U22*Założenia!U$19</f>
        <v>427608.74932789075</v>
      </c>
      <c r="V23" s="7">
        <f>V22*Założenia!V$19</f>
        <v>1203409.7087338981</v>
      </c>
      <c r="W23" s="7">
        <f>W22*Założenia!W$19</f>
        <v>0</v>
      </c>
      <c r="X23" s="7">
        <f>X22*Założenia!X$19</f>
        <v>0</v>
      </c>
      <c r="Y23" s="7">
        <f>Y22*Założenia!Y$19</f>
        <v>0</v>
      </c>
      <c r="Z23" s="7">
        <f>Z22*Założenia!Z$19</f>
        <v>0</v>
      </c>
      <c r="AA23" s="7">
        <f>AA22*Założenia!AA$19</f>
        <v>0</v>
      </c>
      <c r="AB23" s="7">
        <f>AB22*Założenia!AB$19</f>
        <v>0</v>
      </c>
    </row>
    <row r="24" spans="1:28">
      <c r="A24" t="s">
        <v>272</v>
      </c>
      <c r="E24" s="7">
        <f>(E$1&lt;Założenia!$D$14)*0+(E$1=Założenia!$D$14)*SUM($E22:E22)+(E$1&gt;Założenia!$D$14)*E22</f>
        <v>0</v>
      </c>
      <c r="F24" s="7">
        <f>(F$1&lt;Założenia!$D$14)*0+(F$1=Założenia!$D$14)*SUM($E22:F22)+(F$1&gt;Założenia!$D$14)*F22</f>
        <v>0</v>
      </c>
      <c r="G24" s="7">
        <f>(G$1&lt;Założenia!$D$14)*0+(G$1=Założenia!$D$14)*SUM($E22:G22)+(G$1&gt;Założenia!$D$14)*G22</f>
        <v>0</v>
      </c>
      <c r="H24" s="7">
        <f>(H$1&lt;Założenia!$D$14)*0+(H$1=Założenia!$D$14)*SUM($E22:H22)+(H$1&gt;Założenia!$D$14)*H22</f>
        <v>-1531000</v>
      </c>
      <c r="I24" s="7">
        <f>(I$1&lt;Założenia!$D$14)*0+(I$1=Założenia!$D$14)*SUM($E22:I22)+(I$1&gt;Założenia!$D$14)*I22</f>
        <v>-1774300</v>
      </c>
      <c r="J24" s="7">
        <f>(J$1&lt;Założenia!$D$14)*0+(J$1=Założenia!$D$14)*SUM($E22:J22)+(J$1&gt;Założenia!$D$14)*J22</f>
        <v>452000</v>
      </c>
      <c r="K24" s="7">
        <f>(K$1&lt;Założenia!$D$14)*0+(K$1=Założenia!$D$14)*SUM($E22:K22)+(K$1&gt;Założenia!$D$14)*K22</f>
        <v>1064000</v>
      </c>
      <c r="L24" s="7">
        <f>(L$1&lt;Założenia!$D$14)*0+(L$1=Założenia!$D$14)*SUM($E22:L22)+(L$1&gt;Założenia!$D$14)*L22</f>
        <v>476000</v>
      </c>
      <c r="M24" s="7">
        <f>(M$1&lt;Założenia!$D$14)*0+(M$1=Założenia!$D$14)*SUM($E22:M22)+(M$1&gt;Założenia!$D$14)*M22</f>
        <v>488000</v>
      </c>
      <c r="N24" s="7">
        <f>(N$1&lt;Założenia!$D$14)*0+(N$1=Założenia!$D$14)*SUM($E22:N22)+(N$1&gt;Założenia!$D$14)*N22</f>
        <v>500000</v>
      </c>
      <c r="O24" s="7">
        <f>(O$1&lt;Założenia!$D$14)*0+(O$1=Założenia!$D$14)*SUM($E22:O22)+(O$1&gt;Założenia!$D$14)*O22</f>
        <v>712000</v>
      </c>
      <c r="P24" s="7">
        <f>(P$1&lt;Założenia!$D$14)*0+(P$1=Założenia!$D$14)*SUM($E22:P22)+(P$1&gt;Założenia!$D$14)*P22</f>
        <v>812000</v>
      </c>
      <c r="Q24" s="7">
        <f>(Q$1&lt;Założenia!$D$14)*0+(Q$1=Założenia!$D$14)*SUM($E22:Q22)+(Q$1&gt;Założenia!$D$14)*Q22</f>
        <v>712000</v>
      </c>
      <c r="R24" s="7">
        <f>(R$1&lt;Założenia!$D$14)*0+(R$1=Założenia!$D$14)*SUM($E22:R22)+(R$1&gt;Założenia!$D$14)*R22</f>
        <v>212000</v>
      </c>
      <c r="S24" s="7">
        <f>(S$1&lt;Założenia!$D$14)*0+(S$1=Założenia!$D$14)*SUM($E22:S22)+(S$1&gt;Założenia!$D$14)*S22</f>
        <v>712000</v>
      </c>
      <c r="T24" s="7">
        <f>(T$1&lt;Założenia!$D$14)*0+(T$1=Założenia!$D$14)*SUM($E22:T22)+(T$1&gt;Założenia!$D$14)*T22</f>
        <v>712000</v>
      </c>
      <c r="U24" s="7">
        <f>(U$1&lt;Założenia!$D$14)*0+(U$1=Założenia!$D$14)*SUM($E22:U22)+(U$1&gt;Założenia!$D$14)*U22</f>
        <v>712000</v>
      </c>
      <c r="V24" s="7">
        <f>(V$1&lt;Założenia!$D$14)*0+(V$1=Założenia!$D$14)*SUM($E22:V22)+(V$1&gt;Założenia!$D$14)*V22</f>
        <v>2083916.2494310425</v>
      </c>
      <c r="W24" s="7">
        <f>(W$1&lt;Założenia!$D$14)*0+(W$1=Założenia!$D$14)*SUM($E22:W22)+(W$1&gt;Założenia!$D$14)*W22</f>
        <v>0</v>
      </c>
      <c r="X24" s="7">
        <f>(X$1&lt;Założenia!$D$14)*0+(X$1=Założenia!$D$14)*SUM($E22:X22)+(X$1&gt;Założenia!$D$14)*X22</f>
        <v>0</v>
      </c>
      <c r="Y24" s="7">
        <f>(Y$1&lt;Założenia!$D$14)*0+(Y$1=Założenia!$D$14)*SUM($E22:Y22)+(Y$1&gt;Założenia!$D$14)*Y22</f>
        <v>0</v>
      </c>
      <c r="Z24" s="7">
        <f>(Z$1&lt;Założenia!$D$14)*0+(Z$1=Założenia!$D$14)*SUM($E22:Z22)+(Z$1&gt;Założenia!$D$14)*Z22</f>
        <v>0</v>
      </c>
      <c r="AA24" s="7">
        <f>(AA$1&lt;Założenia!$D$14)*0+(AA$1=Założenia!$D$14)*SUM($E22:AA22)+(AA$1&gt;Założenia!$D$14)*AA22</f>
        <v>0</v>
      </c>
      <c r="AB24" s="7">
        <f>(AB$1&lt;Założenia!$D$14)*0+(AB$1=Założenia!$D$14)*SUM($E22:AB22)+(AB$1&gt;Założenia!$D$14)*AB22</f>
        <v>0</v>
      </c>
    </row>
    <row r="26" spans="1:28">
      <c r="A26" s="34" t="s">
        <v>298</v>
      </c>
      <c r="B26" s="78" t="s">
        <v>17</v>
      </c>
      <c r="C26" s="34"/>
      <c r="D26" s="79">
        <f>SUM(E23:AB23)</f>
        <v>3645954.7971164887</v>
      </c>
    </row>
    <row r="27" spans="1:28">
      <c r="A27" s="34" t="s">
        <v>299</v>
      </c>
      <c r="B27" s="78" t="s">
        <v>13</v>
      </c>
      <c r="C27" s="34"/>
      <c r="D27" s="91">
        <f ca="1">IRR(OFFSET(A24:AB24,0,MATCH(Założenia!$D$14,AnalizaFin!A1:AB1,0)-1),-0.1)</f>
        <v>0.16098973613247658</v>
      </c>
      <c r="F27" s="86" t="s">
        <v>453</v>
      </c>
    </row>
    <row r="29" spans="1:28">
      <c r="A29" s="4"/>
    </row>
    <row r="30" spans="1:28">
      <c r="D30" s="89"/>
    </row>
    <row r="31" spans="1:28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5" spans="1:28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8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28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28">
      <c r="A45" s="1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28">
      <c r="D47" s="7"/>
      <c r="E47" s="7"/>
      <c r="F47" s="7"/>
      <c r="G47" s="7"/>
      <c r="H47" s="7"/>
      <c r="I47" s="90"/>
      <c r="J47" s="7"/>
      <c r="K47" s="7"/>
      <c r="L47" s="7"/>
      <c r="M47" s="7"/>
      <c r="N47" s="7"/>
      <c r="O47" s="7"/>
    </row>
    <row r="49" spans="1:28">
      <c r="A49" s="4" t="s">
        <v>56</v>
      </c>
    </row>
    <row r="50" spans="1:28">
      <c r="D50" s="4">
        <f>Założenia!$D$16</f>
        <v>2041</v>
      </c>
      <c r="E50" s="4">
        <f>IF(D50&lt;=Założenia!$D$48+Założenia!$D$17-(Założenia!$D$48-Założenia!$D$14),D50+1,"")</f>
        <v>2042</v>
      </c>
      <c r="F50" s="4">
        <f>IF(E50&lt;=Założenia!$D$48+Założenia!$D$17-(Założenia!$D$48-Założenia!$D$14),E50+1,"")</f>
        <v>2043</v>
      </c>
      <c r="G50" s="4" t="str">
        <f>IF(F50&lt;=Założenia!$D$48+Założenia!$D$17-(Założenia!$D$48-Założenia!$D$14),F50+1,"")</f>
        <v/>
      </c>
      <c r="H50" s="4" t="str">
        <f>IF(G50&lt;=Założenia!$D$48+Założenia!$D$17-(Założenia!$D$48-Założenia!$D$14),G50+1,"")</f>
        <v/>
      </c>
      <c r="I50" s="4" t="str">
        <f>IF(H50&lt;=Założenia!$D$48+Założenia!$D$17-(Założenia!$D$48-Założenia!$D$14),H50+1,"")</f>
        <v/>
      </c>
      <c r="J50" s="4" t="str">
        <f>IF(I50&lt;=Założenia!$D$48+Założenia!$D$17-(Założenia!$D$48-Założenia!$D$14),I50+1,"")</f>
        <v/>
      </c>
      <c r="K50" s="4" t="str">
        <f>IF(J50&lt;=Założenia!$D$48+Założenia!$D$17-(Założenia!$D$48-Założenia!$D$14),J50+1,"")</f>
        <v/>
      </c>
      <c r="L50" s="4" t="str">
        <f>IF(K50&lt;=Założenia!$D$48+Założenia!$D$17-(Założenia!$D$48-Założenia!$D$14),K50+1,"")</f>
        <v/>
      </c>
      <c r="M50" s="4" t="str">
        <f>IF(L50&lt;=Założenia!$D$48+Założenia!$D$17-(Założenia!$D$48-Założenia!$D$14),L50+1,"")</f>
        <v/>
      </c>
      <c r="N50" s="4" t="str">
        <f>IF(M50&lt;=Założenia!$D$48+Założenia!$D$17-(Założenia!$D$48-Założenia!$D$14),M50+1,"")</f>
        <v/>
      </c>
      <c r="O50" s="4" t="str">
        <f>IF(N50&lt;=Założenia!$D$48+Założenia!$D$17-(Założenia!$D$48-Założenia!$D$14),N50+1,"")</f>
        <v/>
      </c>
      <c r="P50" s="4" t="str">
        <f>IF(O50&lt;=Założenia!$D$48+Założenia!$D$17-(Założenia!$D$48-Założenia!$D$14),O50+1,"")</f>
        <v/>
      </c>
      <c r="Q50" s="4" t="str">
        <f>IF(P50&lt;=Założenia!$D$48+Założenia!$D$17-(Założenia!$D$48-Założenia!$D$14),P50+1,"")</f>
        <v/>
      </c>
      <c r="R50" s="4" t="str">
        <f>IF(Q50&lt;=Założenia!$D$48+Założenia!$D$17-(Założenia!$D$48-Założenia!$D$14),Q50+1,"")</f>
        <v/>
      </c>
      <c r="S50" s="4" t="str">
        <f>IF(R50&lt;=Założenia!$D$48+Założenia!$D$17-(Założenia!$D$48-Założenia!$D$14),R50+1,"")</f>
        <v/>
      </c>
      <c r="T50" s="4" t="str">
        <f>IF(S50&lt;=Założenia!$D$48+Założenia!$D$17-(Założenia!$D$48-Założenia!$D$14),S50+1,"")</f>
        <v/>
      </c>
      <c r="U50" s="4" t="str">
        <f>IF(T50&lt;=Założenia!$D$48+Założenia!$D$17-(Założenia!$D$48-Założenia!$D$14),T50+1,"")</f>
        <v/>
      </c>
      <c r="V50" s="4" t="str">
        <f>IF(U50&lt;=Założenia!$D$48+Założenia!$D$17-(Założenia!$D$48-Założenia!$D$14),U50+1,"")</f>
        <v/>
      </c>
      <c r="W50" s="4" t="str">
        <f>IF(V50&lt;=Założenia!$D$48+Założenia!$D$17-(Założenia!$D$48-Założenia!$D$14),V50+1,"")</f>
        <v/>
      </c>
      <c r="X50" s="4" t="str">
        <f>IF(W50&lt;=Założenia!$D$48+Założenia!$D$17-(Założenia!$D$48-Założenia!$D$14),W50+1,"")</f>
        <v/>
      </c>
      <c r="Y50" s="4" t="str">
        <f>IF(X50&lt;=Założenia!$D$48+Założenia!$D$17-(Założenia!$D$48-Założenia!$D$14),X50+1,"")</f>
        <v/>
      </c>
      <c r="Z50" s="4" t="str">
        <f>IF(Y50&lt;=Założenia!$D$48+Założenia!$D$17-(Założenia!$D$48-Założenia!$D$14),Y50+1,"")</f>
        <v/>
      </c>
      <c r="AA50" s="4" t="str">
        <f>IF(Z50&lt;=Założenia!$D$48+Założenia!$D$17-(Założenia!$D$48-Założenia!$D$14),Z50+1,"")</f>
        <v/>
      </c>
      <c r="AB50" s="4" t="str">
        <f>IF(AA50&lt;=Założenia!$D$48+Założenia!$D$17-(Założenia!$D$48-Założenia!$D$14),AA50+1,"")</f>
        <v/>
      </c>
    </row>
    <row r="52" spans="1:28">
      <c r="A52" t="s">
        <v>454</v>
      </c>
      <c r="B52" s="13" t="s">
        <v>17</v>
      </c>
      <c r="D52" s="7">
        <f>SUMIFS($E$6:$AB$6,$E$1:$AB$1,Założenia!$D$16)</f>
        <v>72000</v>
      </c>
    </row>
    <row r="53" spans="1:28">
      <c r="A53" t="s">
        <v>455</v>
      </c>
      <c r="B53" s="13" t="s">
        <v>17</v>
      </c>
      <c r="D53" s="7">
        <f>SUMIFS($E$5:$AB$5,$E$1:$AB$1,Założenia!$D$16)</f>
        <v>-640000</v>
      </c>
    </row>
    <row r="54" spans="1:28">
      <c r="A54" t="s">
        <v>456</v>
      </c>
      <c r="B54" s="13" t="s">
        <v>17</v>
      </c>
      <c r="D54" s="7">
        <f>SUMIFS($E$4:$AB$4,$E$1:$AB$1,"&lt;="&amp;Założenia!$D$16)/(Założenia!$D$16-Założenia!$D$14-1)</f>
        <v>-15384.615384615385</v>
      </c>
      <c r="F54" s="7"/>
    </row>
    <row r="55" spans="1:28">
      <c r="D55" s="7"/>
      <c r="F55" s="7"/>
    </row>
    <row r="56" spans="1:28">
      <c r="A56" t="s">
        <v>457</v>
      </c>
      <c r="E56" s="7">
        <f>IF(E50="","",$D$52-$D$53-$D$54)</f>
        <v>727384.61538461538</v>
      </c>
      <c r="F56" s="7">
        <f t="shared" ref="F56:AB56" si="0">IF(F50="","",$D$52-$D$53-$D$54)</f>
        <v>727384.61538461538</v>
      </c>
      <c r="G56" s="7" t="str">
        <f t="shared" si="0"/>
        <v/>
      </c>
      <c r="H56" s="7" t="str">
        <f t="shared" si="0"/>
        <v/>
      </c>
      <c r="I56" s="7" t="str">
        <f t="shared" si="0"/>
        <v/>
      </c>
      <c r="J56" s="7" t="str">
        <f t="shared" si="0"/>
        <v/>
      </c>
      <c r="K56" s="7" t="str">
        <f t="shared" si="0"/>
        <v/>
      </c>
      <c r="L56" s="7" t="str">
        <f t="shared" si="0"/>
        <v/>
      </c>
      <c r="M56" s="7" t="str">
        <f t="shared" si="0"/>
        <v/>
      </c>
      <c r="N56" s="7" t="str">
        <f t="shared" si="0"/>
        <v/>
      </c>
      <c r="O56" s="7" t="str">
        <f t="shared" si="0"/>
        <v/>
      </c>
      <c r="P56" s="7" t="str">
        <f t="shared" si="0"/>
        <v/>
      </c>
      <c r="Q56" s="7" t="str">
        <f t="shared" si="0"/>
        <v/>
      </c>
      <c r="R56" s="7" t="str">
        <f t="shared" si="0"/>
        <v/>
      </c>
      <c r="S56" s="7" t="str">
        <f t="shared" si="0"/>
        <v/>
      </c>
      <c r="T56" s="7" t="str">
        <f t="shared" si="0"/>
        <v/>
      </c>
      <c r="U56" s="7" t="str">
        <f t="shared" si="0"/>
        <v/>
      </c>
      <c r="V56" s="7" t="str">
        <f t="shared" si="0"/>
        <v/>
      </c>
      <c r="W56" s="7" t="str">
        <f t="shared" si="0"/>
        <v/>
      </c>
      <c r="X56" s="7" t="str">
        <f t="shared" si="0"/>
        <v/>
      </c>
      <c r="Y56" s="7" t="str">
        <f t="shared" si="0"/>
        <v/>
      </c>
      <c r="Z56" s="7" t="str">
        <f t="shared" si="0"/>
        <v/>
      </c>
      <c r="AA56" s="7" t="str">
        <f t="shared" si="0"/>
        <v/>
      </c>
      <c r="AB56" s="7" t="str">
        <f t="shared" si="0"/>
        <v/>
      </c>
    </row>
    <row r="58" spans="1:28">
      <c r="A58" t="s">
        <v>56</v>
      </c>
      <c r="B58" s="13" t="s">
        <v>17</v>
      </c>
      <c r="D58" s="7">
        <f>IF((NPV(Założenia!$D$8,$E$56:$AB$56))&lt;=0,0,(NPV(Założenia!$D$8,$E$56:$AB$56)))</f>
        <v>1371916.2494310425</v>
      </c>
    </row>
    <row r="60" spans="1:28">
      <c r="A60" s="4" t="s">
        <v>288</v>
      </c>
    </row>
    <row r="62" spans="1:28">
      <c r="A62" t="s">
        <v>55</v>
      </c>
      <c r="B62" s="13" t="s">
        <v>13</v>
      </c>
      <c r="D62" s="1">
        <f>Założenia!D21</f>
        <v>0.85</v>
      </c>
    </row>
    <row r="63" spans="1:28">
      <c r="A63" t="s">
        <v>93</v>
      </c>
      <c r="B63" s="13" t="s">
        <v>17</v>
      </c>
      <c r="F63" s="61">
        <f>$D$62*(Założenia!F96-Założenia!F97)</f>
        <v>0</v>
      </c>
      <c r="G63" s="61">
        <f>$D$62*(Założenia!G96-Założenia!G97)</f>
        <v>2550</v>
      </c>
      <c r="H63" s="61">
        <f>$D$62*(Założenia!H96-Założenia!H97)</f>
        <v>11421450</v>
      </c>
      <c r="I63" s="61">
        <f>$D$62*(Założenia!I96-Założenia!I97)</f>
        <v>12615700</v>
      </c>
      <c r="J63" s="7">
        <f>$D$62*(Założenia!J96-Założenia!J97)</f>
        <v>0</v>
      </c>
      <c r="K63" s="7">
        <f>$D$62*(Założenia!K96-Założenia!K97)</f>
        <v>0</v>
      </c>
      <c r="L63" s="7">
        <f>$D$62*(Założenia!L96-Założenia!L97)</f>
        <v>0</v>
      </c>
      <c r="M63" s="7">
        <f>$D$62*(Założenia!M96-Założenia!M97)</f>
        <v>0</v>
      </c>
      <c r="N63" s="7">
        <f>$D$62*(Założenia!N96-Założenia!N97)</f>
        <v>0</v>
      </c>
      <c r="O63" s="7">
        <f>$D$62*(Założenia!O96-Założenia!O97)</f>
        <v>0</v>
      </c>
      <c r="P63" s="7">
        <f>$D$62*(Założenia!P96-Założenia!P97)</f>
        <v>0</v>
      </c>
      <c r="Q63" s="7">
        <f>$D$62*(Założenia!Q96-Założenia!Q97)</f>
        <v>0</v>
      </c>
      <c r="R63" s="7">
        <f>$D$62*(Założenia!R96-Założenia!R97)</f>
        <v>0</v>
      </c>
      <c r="S63" s="7">
        <f>$D$62*(Założenia!S96-Założenia!S97)</f>
        <v>0</v>
      </c>
      <c r="T63" s="7">
        <f>$D$62*(Założenia!T96-Założenia!T97)</f>
        <v>0</v>
      </c>
      <c r="U63" s="7">
        <f>$D$62*(Założenia!U96-Założenia!U97)</f>
        <v>0</v>
      </c>
      <c r="V63" s="7">
        <f>$D$62*(Założenia!V96-Założenia!V97)</f>
        <v>0</v>
      </c>
      <c r="W63" s="7">
        <f>$D$62*(Założenia!W96-Założenia!W97)</f>
        <v>0</v>
      </c>
      <c r="X63" s="7">
        <f>$D$62*(Założenia!X96-Założenia!X97)</f>
        <v>0</v>
      </c>
      <c r="Y63" s="7">
        <f>$D$62*(Założenia!Y96-Założenia!Y97)</f>
        <v>0</v>
      </c>
      <c r="Z63" s="7">
        <f>$D$62*(Założenia!Z96-Założenia!Z97)</f>
        <v>0</v>
      </c>
      <c r="AA63" s="7">
        <f>$D$62*(Założenia!AA96-Założenia!AA97)</f>
        <v>0</v>
      </c>
      <c r="AB63" s="7">
        <f>$D$62*(Założenia!AB96-Założenia!AB97)</f>
        <v>0</v>
      </c>
    </row>
    <row r="64" spans="1:28">
      <c r="A64" t="s">
        <v>289</v>
      </c>
      <c r="B64" s="13" t="s">
        <v>17</v>
      </c>
      <c r="E64" s="7">
        <f>Założenia!E109</f>
        <v>0</v>
      </c>
      <c r="F64" s="7">
        <f>Założenia!F109</f>
        <v>0</v>
      </c>
      <c r="G64" s="7">
        <f>Założenia!G109</f>
        <v>0</v>
      </c>
      <c r="H64" s="7">
        <f>Założenia!H109</f>
        <v>500000</v>
      </c>
      <c r="I64" s="7">
        <f>Założenia!I109</f>
        <v>500000</v>
      </c>
      <c r="J64" s="7">
        <f>Założenia!J109</f>
        <v>0</v>
      </c>
      <c r="K64" s="7">
        <f>Założenia!K109</f>
        <v>0</v>
      </c>
      <c r="L64" s="7">
        <f>Założenia!L109</f>
        <v>0</v>
      </c>
      <c r="M64" s="7">
        <f>Założenia!M109</f>
        <v>0</v>
      </c>
      <c r="N64" s="7">
        <f>Założenia!N109</f>
        <v>0</v>
      </c>
      <c r="O64" s="7">
        <f>Założenia!O109</f>
        <v>0</v>
      </c>
      <c r="P64" s="7">
        <f>Założenia!P109</f>
        <v>0</v>
      </c>
      <c r="Q64" s="7">
        <f>Założenia!Q109</f>
        <v>0</v>
      </c>
      <c r="R64" s="7">
        <f>Założenia!R109</f>
        <v>0</v>
      </c>
      <c r="S64" s="7">
        <f>Założenia!S109</f>
        <v>0</v>
      </c>
      <c r="T64" s="7">
        <f>Założenia!T109</f>
        <v>0</v>
      </c>
      <c r="U64" s="7">
        <f>Założenia!U109</f>
        <v>0</v>
      </c>
      <c r="V64" s="7">
        <f>Założenia!V109</f>
        <v>0</v>
      </c>
      <c r="W64" s="7">
        <f>Założenia!W109</f>
        <v>0</v>
      </c>
      <c r="X64" s="7">
        <f>Założenia!X109</f>
        <v>0</v>
      </c>
      <c r="Y64" s="7">
        <f>Założenia!Y109</f>
        <v>0</v>
      </c>
      <c r="Z64" s="7">
        <f>Założenia!Z109</f>
        <v>0</v>
      </c>
      <c r="AA64" s="7">
        <f>Założenia!AA109</f>
        <v>0</v>
      </c>
      <c r="AB64" s="7">
        <f>Założenia!AB109</f>
        <v>0</v>
      </c>
    </row>
    <row r="65" spans="1:28">
      <c r="A65" t="s">
        <v>290</v>
      </c>
      <c r="B65" s="13" t="s">
        <v>17</v>
      </c>
      <c r="E65" s="7">
        <f t="shared" ref="E65:AB65" si="1">E3-SUM(E63:E64)</f>
        <v>0</v>
      </c>
      <c r="F65" s="7">
        <f t="shared" si="1"/>
        <v>0</v>
      </c>
      <c r="G65" s="7">
        <f t="shared" si="1"/>
        <v>450</v>
      </c>
      <c r="H65" s="7">
        <f t="shared" si="1"/>
        <v>1515550</v>
      </c>
      <c r="I65" s="7">
        <f t="shared" si="1"/>
        <v>1729300</v>
      </c>
      <c r="J65" s="7">
        <f t="shared" si="1"/>
        <v>0</v>
      </c>
      <c r="K65" s="7">
        <f t="shared" si="1"/>
        <v>0</v>
      </c>
      <c r="L65" s="7">
        <f t="shared" si="1"/>
        <v>0</v>
      </c>
      <c r="M65" s="7">
        <f t="shared" si="1"/>
        <v>0</v>
      </c>
      <c r="N65" s="7">
        <f t="shared" si="1"/>
        <v>0</v>
      </c>
      <c r="O65" s="7">
        <f t="shared" si="1"/>
        <v>0</v>
      </c>
      <c r="P65" s="7">
        <f t="shared" si="1"/>
        <v>0</v>
      </c>
      <c r="Q65" s="7">
        <f t="shared" si="1"/>
        <v>0</v>
      </c>
      <c r="R65" s="7">
        <f t="shared" si="1"/>
        <v>0</v>
      </c>
      <c r="S65" s="7">
        <f t="shared" si="1"/>
        <v>0</v>
      </c>
      <c r="T65" s="7">
        <f t="shared" si="1"/>
        <v>0</v>
      </c>
      <c r="U65" s="7">
        <f t="shared" si="1"/>
        <v>0</v>
      </c>
      <c r="V65" s="7">
        <f t="shared" si="1"/>
        <v>0</v>
      </c>
      <c r="W65" s="7">
        <f t="shared" si="1"/>
        <v>0</v>
      </c>
      <c r="X65" s="7">
        <f t="shared" si="1"/>
        <v>0</v>
      </c>
      <c r="Y65" s="7">
        <f t="shared" si="1"/>
        <v>0</v>
      </c>
      <c r="Z65" s="7">
        <f t="shared" si="1"/>
        <v>0</v>
      </c>
      <c r="AA65" s="7">
        <f t="shared" si="1"/>
        <v>0</v>
      </c>
      <c r="AB65" s="7">
        <f t="shared" si="1"/>
        <v>0</v>
      </c>
    </row>
    <row r="67" spans="1:28">
      <c r="A67" t="s">
        <v>291</v>
      </c>
      <c r="B67" s="13" t="s">
        <v>17</v>
      </c>
      <c r="E67" s="7">
        <v>0</v>
      </c>
      <c r="F67" s="7">
        <f>E71</f>
        <v>0</v>
      </c>
      <c r="G67" s="7">
        <f t="shared" ref="G67:AB67" si="2">F71</f>
        <v>0</v>
      </c>
      <c r="H67" s="7">
        <f t="shared" si="2"/>
        <v>0</v>
      </c>
      <c r="I67" s="7">
        <f t="shared" si="2"/>
        <v>500000</v>
      </c>
      <c r="J67" s="7">
        <f t="shared" si="2"/>
        <v>1000000</v>
      </c>
      <c r="K67" s="7">
        <f t="shared" si="2"/>
        <v>800000</v>
      </c>
      <c r="L67" s="7">
        <f t="shared" si="2"/>
        <v>600000</v>
      </c>
      <c r="M67" s="7">
        <f t="shared" si="2"/>
        <v>400000</v>
      </c>
      <c r="N67" s="7">
        <f t="shared" si="2"/>
        <v>200000</v>
      </c>
      <c r="O67" s="7">
        <f t="shared" si="2"/>
        <v>0</v>
      </c>
      <c r="P67" s="7">
        <f t="shared" si="2"/>
        <v>0</v>
      </c>
      <c r="Q67" s="7">
        <f t="shared" si="2"/>
        <v>0</v>
      </c>
      <c r="R67" s="7">
        <f t="shared" si="2"/>
        <v>0</v>
      </c>
      <c r="S67" s="7">
        <f t="shared" si="2"/>
        <v>0</v>
      </c>
      <c r="T67" s="7">
        <f t="shared" si="2"/>
        <v>0</v>
      </c>
      <c r="U67" s="7">
        <f t="shared" si="2"/>
        <v>0</v>
      </c>
      <c r="V67" s="7">
        <f t="shared" si="2"/>
        <v>0</v>
      </c>
      <c r="W67" s="7">
        <f t="shared" si="2"/>
        <v>0</v>
      </c>
      <c r="X67" s="7">
        <f t="shared" si="2"/>
        <v>0</v>
      </c>
      <c r="Y67" s="7">
        <f t="shared" si="2"/>
        <v>0</v>
      </c>
      <c r="Z67" s="7">
        <f t="shared" si="2"/>
        <v>0</v>
      </c>
      <c r="AA67" s="7">
        <f t="shared" si="2"/>
        <v>0</v>
      </c>
      <c r="AB67" s="7">
        <f t="shared" si="2"/>
        <v>0</v>
      </c>
    </row>
    <row r="68" spans="1:28">
      <c r="A68" s="3" t="s">
        <v>286</v>
      </c>
      <c r="B68" s="13" t="s">
        <v>17</v>
      </c>
      <c r="E68" s="7">
        <f>E64</f>
        <v>0</v>
      </c>
      <c r="F68" s="7">
        <f>F64</f>
        <v>0</v>
      </c>
      <c r="G68" s="7">
        <f t="shared" ref="G68:AB68" si="3">G64</f>
        <v>0</v>
      </c>
      <c r="H68" s="7">
        <f t="shared" si="3"/>
        <v>500000</v>
      </c>
      <c r="I68" s="7">
        <f t="shared" si="3"/>
        <v>500000</v>
      </c>
      <c r="J68" s="7">
        <f t="shared" si="3"/>
        <v>0</v>
      </c>
      <c r="K68" s="7">
        <f t="shared" si="3"/>
        <v>0</v>
      </c>
      <c r="L68" s="7">
        <f t="shared" si="3"/>
        <v>0</v>
      </c>
      <c r="M68" s="7">
        <f t="shared" si="3"/>
        <v>0</v>
      </c>
      <c r="N68" s="7">
        <f t="shared" si="3"/>
        <v>0</v>
      </c>
      <c r="O68" s="7">
        <f t="shared" si="3"/>
        <v>0</v>
      </c>
      <c r="P68" s="7">
        <f t="shared" si="3"/>
        <v>0</v>
      </c>
      <c r="Q68" s="7">
        <f t="shared" si="3"/>
        <v>0</v>
      </c>
      <c r="R68" s="7">
        <f t="shared" si="3"/>
        <v>0</v>
      </c>
      <c r="S68" s="7">
        <f t="shared" si="3"/>
        <v>0</v>
      </c>
      <c r="T68" s="7">
        <f t="shared" si="3"/>
        <v>0</v>
      </c>
      <c r="U68" s="7">
        <f t="shared" si="3"/>
        <v>0</v>
      </c>
      <c r="V68" s="7">
        <f t="shared" si="3"/>
        <v>0</v>
      </c>
      <c r="W68" s="7">
        <f t="shared" si="3"/>
        <v>0</v>
      </c>
      <c r="X68" s="7">
        <f t="shared" si="3"/>
        <v>0</v>
      </c>
      <c r="Y68" s="7">
        <f t="shared" si="3"/>
        <v>0</v>
      </c>
      <c r="Z68" s="7">
        <f t="shared" si="3"/>
        <v>0</v>
      </c>
      <c r="AA68" s="7">
        <f t="shared" si="3"/>
        <v>0</v>
      </c>
      <c r="AB68" s="7">
        <f t="shared" si="3"/>
        <v>0</v>
      </c>
    </row>
    <row r="69" spans="1:28">
      <c r="A69" s="3" t="s">
        <v>287</v>
      </c>
      <c r="B69" s="13" t="s">
        <v>17</v>
      </c>
      <c r="E69" s="7">
        <f>IF(E1&gt;=Założenia!$D$112,MIN(SUM(Założenia!$F$109:$K$109)/Założenia!$D$111,AnalizaFin!E67),0)</f>
        <v>0</v>
      </c>
      <c r="F69" s="7">
        <f>IF(F1&gt;=Założenia!$D$112,MIN(SUM(Założenia!$F$109:$K$109)/Założenia!$D$111,AnalizaFin!F67),0)</f>
        <v>0</v>
      </c>
      <c r="G69" s="7">
        <f>IF(G1&gt;=Założenia!$D$112,MIN(SUM(Założenia!$F$109:$K$109)/Założenia!$D$111,AnalizaFin!G67),0)</f>
        <v>0</v>
      </c>
      <c r="H69" s="7">
        <f>IF(H1&gt;=Założenia!$D$112,MIN(SUM(Założenia!$F$109:$K$109)/Założenia!$D$111,AnalizaFin!H67),0)</f>
        <v>0</v>
      </c>
      <c r="I69" s="7">
        <f>IF(I1&gt;=Założenia!$D$112,MIN(SUM(Założenia!$F$109:$K$109)/Założenia!$D$111,AnalizaFin!I67),0)</f>
        <v>0</v>
      </c>
      <c r="J69" s="7">
        <f>IF(J1&gt;=Założenia!$D$112,MIN(SUM(Założenia!$F$109:$K$109)/Założenia!$D$111,AnalizaFin!J67),0)</f>
        <v>200000</v>
      </c>
      <c r="K69" s="7">
        <f>IF(K1&gt;=Założenia!$D$112,MIN(SUM(Założenia!$F$109:$K$109)/Założenia!$D$111,AnalizaFin!K67),0)</f>
        <v>200000</v>
      </c>
      <c r="L69" s="7">
        <f>IF(L1&gt;=Założenia!$D$112,MIN(SUM(Założenia!$F$109:$K$109)/Założenia!$D$111,AnalizaFin!L67),0)</f>
        <v>200000</v>
      </c>
      <c r="M69" s="7">
        <f>IF(M1&gt;=Założenia!$D$112,MIN(SUM(Założenia!$F$109:$K$109)/Założenia!$D$111,AnalizaFin!M67),0)</f>
        <v>200000</v>
      </c>
      <c r="N69" s="7">
        <f>IF(N1&gt;=Założenia!$D$112,MIN(SUM(Założenia!$F$109:$K$109)/Założenia!$D$111,AnalizaFin!N67),0)</f>
        <v>200000</v>
      </c>
      <c r="O69" s="7">
        <f>IF(O1&gt;=Założenia!$D$112,MIN(SUM(Założenia!$F$109:$K$109)/Założenia!$D$111,AnalizaFin!O67),0)</f>
        <v>0</v>
      </c>
      <c r="P69" s="7">
        <f>IF(P1&gt;=Założenia!$D$112,MIN(SUM(Założenia!$F$109:$K$109)/Założenia!$D$111,AnalizaFin!P67),0)</f>
        <v>0</v>
      </c>
      <c r="Q69" s="7">
        <f>IF(Q1&gt;=Założenia!$D$112,MIN(SUM(Założenia!$F$109:$K$109)/Założenia!$D$111,AnalizaFin!Q67),0)</f>
        <v>0</v>
      </c>
      <c r="R69" s="7">
        <f>IF(R1&gt;=Założenia!$D$112,MIN(SUM(Założenia!$F$109:$K$109)/Założenia!$D$111,AnalizaFin!R67),0)</f>
        <v>0</v>
      </c>
      <c r="S69" s="7">
        <f>IF(S1&gt;=Założenia!$D$112,MIN(SUM(Założenia!$F$109:$K$109)/Założenia!$D$111,AnalizaFin!S67),0)</f>
        <v>0</v>
      </c>
      <c r="T69" s="7">
        <f>IF(T1&gt;=Założenia!$D$112,MIN(SUM(Założenia!$F$109:$K$109)/Założenia!$D$111,AnalizaFin!T67),0)</f>
        <v>0</v>
      </c>
      <c r="U69" s="7">
        <f>IF(U1&gt;=Założenia!$D$112,MIN(SUM(Założenia!$F$109:$K$109)/Założenia!$D$111,AnalizaFin!U67),0)</f>
        <v>0</v>
      </c>
      <c r="V69" s="7">
        <f>IF(V1&gt;=Założenia!$D$112,MIN(SUM(Założenia!$F$109:$K$109)/Założenia!$D$111,AnalizaFin!V67),0)</f>
        <v>0</v>
      </c>
      <c r="W69" s="7">
        <f>IF(W1&gt;=Założenia!$D$112,MIN(SUM(Założenia!$F$109:$K$109)/Założenia!$D$111,AnalizaFin!W67),0)</f>
        <v>0</v>
      </c>
      <c r="X69" s="7">
        <f>IF(X1&gt;=Założenia!$D$112,MIN(SUM(Założenia!$F$109:$K$109)/Założenia!$D$111,AnalizaFin!X67),0)</f>
        <v>0</v>
      </c>
      <c r="Y69" s="7">
        <f>IF(Y1&gt;=Założenia!$D$112,MIN(SUM(Założenia!$F$109:$K$109)/Założenia!$D$111,AnalizaFin!Y67),0)</f>
        <v>0</v>
      </c>
      <c r="Z69" s="7">
        <f>IF(Z1&gt;=Założenia!$D$112,MIN(SUM(Założenia!$F$109:$K$109)/Założenia!$D$111,AnalizaFin!Z67),0)</f>
        <v>0</v>
      </c>
      <c r="AA69" s="7">
        <f>IF(AA1&gt;=Założenia!$D$112,MIN(SUM(Założenia!$F$109:$K$109)/Założenia!$D$111,AnalizaFin!AA67),0)</f>
        <v>0</v>
      </c>
      <c r="AB69" s="7">
        <f>IF(AB1&gt;=Założenia!$D$112,MIN(SUM(Założenia!$F$109:$K$109)/Założenia!$D$111,AnalizaFin!AB67),0)</f>
        <v>0</v>
      </c>
    </row>
    <row r="70" spans="1:28">
      <c r="A70" s="3" t="s">
        <v>98</v>
      </c>
      <c r="B70" s="13" t="s">
        <v>17</v>
      </c>
      <c r="E70" s="7">
        <f>(E67+E68/2)*Założenia!$D$110</f>
        <v>0</v>
      </c>
      <c r="F70" s="7">
        <f>(F67+F68/2)*Założenia!$D$110</f>
        <v>0</v>
      </c>
      <c r="G70" s="7">
        <f>(G67+G68/2)*Założenia!$D$110</f>
        <v>0</v>
      </c>
      <c r="H70" s="7">
        <f>(H67+H68/2)*Założenia!$D$110</f>
        <v>15000</v>
      </c>
      <c r="I70" s="7">
        <f>(I67+I68/2)*Założenia!$D$110</f>
        <v>45000</v>
      </c>
      <c r="J70" s="7">
        <f>(J67+J68/2)*Założenia!$D$110</f>
        <v>60000</v>
      </c>
      <c r="K70" s="7">
        <f>(K67+K68/2)*Założenia!$D$110</f>
        <v>48000</v>
      </c>
      <c r="L70" s="7">
        <f>(L67+L68/2)*Założenia!$D$110</f>
        <v>36000</v>
      </c>
      <c r="M70" s="7">
        <f>(M67+M68/2)*Założenia!$D$110</f>
        <v>24000</v>
      </c>
      <c r="N70" s="7">
        <f>(N67+N68/2)*Założenia!$D$110</f>
        <v>12000</v>
      </c>
      <c r="O70" s="7">
        <f>(O67+O68/2)*Założenia!$D$110</f>
        <v>0</v>
      </c>
      <c r="P70" s="7">
        <f>(P67+P68/2)*Założenia!$D$110</f>
        <v>0</v>
      </c>
      <c r="Q70" s="7">
        <f>(Q67+Q68/2)*Założenia!$D$110</f>
        <v>0</v>
      </c>
      <c r="R70" s="7">
        <f>(R67+R68/2)*Założenia!$D$110</f>
        <v>0</v>
      </c>
      <c r="S70" s="7">
        <f>(S67+S68/2)*Założenia!$D$110</f>
        <v>0</v>
      </c>
      <c r="T70" s="7">
        <f>(T67+T68/2)*Założenia!$D$110</f>
        <v>0</v>
      </c>
      <c r="U70" s="7">
        <f>(U67+U68/2)*Założenia!$D$110</f>
        <v>0</v>
      </c>
      <c r="V70" s="7">
        <f>(V67+V68/2)*Założenia!$D$110</f>
        <v>0</v>
      </c>
      <c r="W70" s="7">
        <f>(W67+W68/2)*Założenia!$D$110</f>
        <v>0</v>
      </c>
      <c r="X70" s="7">
        <f>(X67+X68/2)*Założenia!$D$110</f>
        <v>0</v>
      </c>
      <c r="Y70" s="7">
        <f>(Y67+Y68/2)*Założenia!$D$110</f>
        <v>0</v>
      </c>
      <c r="Z70" s="7">
        <f>(Z67+Z68/2)*Założenia!$D$110</f>
        <v>0</v>
      </c>
      <c r="AA70" s="7">
        <f>(AA67+AA68/2)*Założenia!$D$110</f>
        <v>0</v>
      </c>
      <c r="AB70" s="7">
        <f>(AB67+AB68/2)*Założenia!$D$110</f>
        <v>0</v>
      </c>
    </row>
    <row r="71" spans="1:28">
      <c r="A71" t="s">
        <v>292</v>
      </c>
      <c r="B71" s="13" t="s">
        <v>17</v>
      </c>
      <c r="E71" s="7">
        <f>E67+E68-E69</f>
        <v>0</v>
      </c>
      <c r="F71" s="7">
        <f>F67+F68-F69</f>
        <v>0</v>
      </c>
      <c r="G71" s="7">
        <f t="shared" ref="G71:AB71" si="4">G67+G68-G69</f>
        <v>0</v>
      </c>
      <c r="H71" s="7">
        <f t="shared" si="4"/>
        <v>500000</v>
      </c>
      <c r="I71" s="7">
        <f t="shared" si="4"/>
        <v>1000000</v>
      </c>
      <c r="J71" s="7">
        <f t="shared" si="4"/>
        <v>800000</v>
      </c>
      <c r="K71" s="7">
        <f t="shared" si="4"/>
        <v>600000</v>
      </c>
      <c r="L71" s="7">
        <f t="shared" si="4"/>
        <v>400000</v>
      </c>
      <c r="M71" s="7">
        <f t="shared" si="4"/>
        <v>200000</v>
      </c>
      <c r="N71" s="7">
        <f t="shared" si="4"/>
        <v>0</v>
      </c>
      <c r="O71" s="7">
        <f t="shared" si="4"/>
        <v>0</v>
      </c>
      <c r="P71" s="7">
        <f t="shared" si="4"/>
        <v>0</v>
      </c>
      <c r="Q71" s="7">
        <f t="shared" si="4"/>
        <v>0</v>
      </c>
      <c r="R71" s="7">
        <f t="shared" si="4"/>
        <v>0</v>
      </c>
      <c r="S71" s="7">
        <f t="shared" si="4"/>
        <v>0</v>
      </c>
      <c r="T71" s="7">
        <f t="shared" si="4"/>
        <v>0</v>
      </c>
      <c r="U71" s="7">
        <f t="shared" si="4"/>
        <v>0</v>
      </c>
      <c r="V71" s="7">
        <f t="shared" si="4"/>
        <v>0</v>
      </c>
      <c r="W71" s="7">
        <f t="shared" si="4"/>
        <v>0</v>
      </c>
      <c r="X71" s="7">
        <f t="shared" si="4"/>
        <v>0</v>
      </c>
      <c r="Y71" s="7">
        <f t="shared" si="4"/>
        <v>0</v>
      </c>
      <c r="Z71" s="7">
        <f t="shared" si="4"/>
        <v>0</v>
      </c>
      <c r="AA71" s="7">
        <f t="shared" si="4"/>
        <v>0</v>
      </c>
      <c r="AB71" s="7">
        <f t="shared" si="4"/>
        <v>0</v>
      </c>
    </row>
    <row r="73" spans="1:28">
      <c r="A73" s="4" t="s">
        <v>293</v>
      </c>
    </row>
    <row r="75" spans="1:28">
      <c r="A75" t="s">
        <v>294</v>
      </c>
      <c r="B75" s="13" t="s">
        <v>17</v>
      </c>
      <c r="E75" s="7">
        <f>SUM(E76:E80)</f>
        <v>5759600</v>
      </c>
      <c r="F75" s="7">
        <f t="shared" ref="F75:AB75" si="5">SUM(F76:F80)</f>
        <v>5759600</v>
      </c>
      <c r="G75" s="7">
        <f t="shared" si="5"/>
        <v>5762600</v>
      </c>
      <c r="H75" s="7">
        <f t="shared" si="5"/>
        <v>19211600</v>
      </c>
      <c r="I75" s="7">
        <f t="shared" si="5"/>
        <v>20649600</v>
      </c>
      <c r="J75" s="7">
        <f t="shared" si="5"/>
        <v>5379600</v>
      </c>
      <c r="K75" s="7">
        <f t="shared" si="5"/>
        <v>5367600</v>
      </c>
      <c r="L75" s="7">
        <f t="shared" si="5"/>
        <v>5355600</v>
      </c>
      <c r="M75" s="7">
        <f t="shared" si="5"/>
        <v>5343600</v>
      </c>
      <c r="N75" s="7">
        <f t="shared" si="5"/>
        <v>5331600</v>
      </c>
      <c r="O75" s="7">
        <f t="shared" si="5"/>
        <v>5119600</v>
      </c>
      <c r="P75" s="7">
        <f t="shared" si="5"/>
        <v>5619600</v>
      </c>
      <c r="Q75" s="7">
        <f t="shared" si="5"/>
        <v>5119600</v>
      </c>
      <c r="R75" s="7">
        <f t="shared" si="5"/>
        <v>5619600</v>
      </c>
      <c r="S75" s="7">
        <f t="shared" si="5"/>
        <v>5119600</v>
      </c>
      <c r="T75" s="7">
        <f t="shared" si="5"/>
        <v>5119600</v>
      </c>
      <c r="U75" s="7">
        <f t="shared" si="5"/>
        <v>5119600</v>
      </c>
      <c r="V75" s="7">
        <f t="shared" si="5"/>
        <v>5119600</v>
      </c>
      <c r="W75" s="7">
        <f t="shared" si="5"/>
        <v>0</v>
      </c>
      <c r="X75" s="7">
        <f t="shared" si="5"/>
        <v>0</v>
      </c>
      <c r="Y75" s="7">
        <f t="shared" si="5"/>
        <v>0</v>
      </c>
      <c r="Z75" s="7">
        <f t="shared" si="5"/>
        <v>0</v>
      </c>
      <c r="AA75" s="7">
        <f t="shared" si="5"/>
        <v>0</v>
      </c>
      <c r="AB75" s="7">
        <f t="shared" si="5"/>
        <v>0</v>
      </c>
    </row>
    <row r="76" spans="1:28">
      <c r="A76" s="3" t="s">
        <v>12</v>
      </c>
      <c r="B76" s="13" t="s">
        <v>17</v>
      </c>
      <c r="E76" s="7">
        <f>E3*(E1&lt;=Założenia!$D$16)</f>
        <v>0</v>
      </c>
      <c r="F76" s="7">
        <f>F3*(F1&lt;=Założenia!$D$16)</f>
        <v>0</v>
      </c>
      <c r="G76" s="7">
        <f>G3*(G1&lt;=Założenia!$D$16)</f>
        <v>3000</v>
      </c>
      <c r="H76" s="7">
        <f>H3*(H1&lt;=Założenia!$D$16)</f>
        <v>13437000</v>
      </c>
      <c r="I76" s="7">
        <f>I3*(I1&lt;=Założenia!$D$16)</f>
        <v>14845000</v>
      </c>
      <c r="J76" s="7">
        <f>J3*(J1&lt;=Założenia!$D$16)</f>
        <v>0</v>
      </c>
      <c r="K76" s="7">
        <f>K3*(K1&lt;=Założenia!$D$16)</f>
        <v>0</v>
      </c>
      <c r="L76" s="7">
        <f>L3*(L1&lt;=Założenia!$D$16)</f>
        <v>0</v>
      </c>
      <c r="M76" s="7">
        <f>M3*(M1&lt;=Założenia!$D$16)</f>
        <v>0</v>
      </c>
      <c r="N76" s="7">
        <f>N3*(N1&lt;=Założenia!$D$16)</f>
        <v>0</v>
      </c>
      <c r="O76" s="7">
        <f>O3*(O1&lt;=Założenia!$D$16)</f>
        <v>0</v>
      </c>
      <c r="P76" s="7">
        <f>P3*(P1&lt;=Założenia!$D$16)</f>
        <v>0</v>
      </c>
      <c r="Q76" s="7">
        <f>Q3*(Q1&lt;=Założenia!$D$16)</f>
        <v>0</v>
      </c>
      <c r="R76" s="7">
        <f>R3*(R1&lt;=Założenia!$D$16)</f>
        <v>0</v>
      </c>
      <c r="S76" s="7">
        <f>S3*(S1&lt;=Założenia!$D$16)</f>
        <v>0</v>
      </c>
      <c r="T76" s="7">
        <f>T3*(T1&lt;=Założenia!$D$16)</f>
        <v>0</v>
      </c>
      <c r="U76" s="7">
        <f>U3*(U1&lt;=Założenia!$D$16)</f>
        <v>0</v>
      </c>
      <c r="V76" s="7">
        <f>V3*(V1&lt;=Założenia!$D$16)</f>
        <v>0</v>
      </c>
      <c r="W76" s="7">
        <f>W3*(W1&lt;=Założenia!$D$16)</f>
        <v>0</v>
      </c>
      <c r="X76" s="7">
        <f>X3*(X1&lt;=Założenia!$D$16)</f>
        <v>0</v>
      </c>
      <c r="Y76" s="7">
        <f>Y3*(Y1&lt;=Założenia!$D$16)</f>
        <v>0</v>
      </c>
      <c r="Z76" s="7">
        <f>Z3*(Z1&lt;=Założenia!$D$16)</f>
        <v>0</v>
      </c>
      <c r="AA76" s="7">
        <f>AA3*(AA1&lt;=Założenia!$D$16)</f>
        <v>0</v>
      </c>
      <c r="AB76" s="7">
        <f>AB3*(AB1&lt;=Założenia!$D$16)</f>
        <v>0</v>
      </c>
    </row>
    <row r="77" spans="1:28">
      <c r="A77" s="3" t="s">
        <v>44</v>
      </c>
      <c r="B77" s="13" t="s">
        <v>17</v>
      </c>
      <c r="E77" s="7">
        <f>(Eksploatacja!E42+Eksploatacja!E44+Eksploatacja!E46)*(E1&lt;=Założenia!$D$16)</f>
        <v>0</v>
      </c>
      <c r="F77" s="7">
        <f>(Eksploatacja!F42+Eksploatacja!F44+Eksploatacja!F46)*(F1&lt;=Założenia!$D$16)</f>
        <v>0</v>
      </c>
      <c r="G77" s="7">
        <f>(Eksploatacja!G42+Eksploatacja!G44+Eksploatacja!G46)*(G1&lt;=Założenia!$D$16)</f>
        <v>0</v>
      </c>
      <c r="H77" s="7">
        <f>(Eksploatacja!H42+Eksploatacja!H44+Eksploatacja!H46)*(H1&lt;=Założenia!$D$16)</f>
        <v>0</v>
      </c>
      <c r="I77" s="7">
        <f>(Eksploatacja!I42+Eksploatacja!I44+Eksploatacja!I46)*(I1&lt;=Założenia!$D$16)</f>
        <v>0</v>
      </c>
      <c r="J77" s="7">
        <f>(Eksploatacja!J42+Eksploatacja!J44+Eksploatacja!J46)*(J1&lt;=Założenia!$D$16)</f>
        <v>0</v>
      </c>
      <c r="K77" s="7">
        <f>(Eksploatacja!K42+Eksploatacja!K44+Eksploatacja!K46)*(K1&lt;=Założenia!$D$16)</f>
        <v>0</v>
      </c>
      <c r="L77" s="7">
        <f>(Eksploatacja!L42+Eksploatacja!L44+Eksploatacja!L46)*(L1&lt;=Założenia!$D$16)</f>
        <v>0</v>
      </c>
      <c r="M77" s="7">
        <f>(Eksploatacja!M42+Eksploatacja!M44+Eksploatacja!M46)*(M1&lt;=Założenia!$D$16)</f>
        <v>0</v>
      </c>
      <c r="N77" s="7">
        <f>(Eksploatacja!N42+Eksploatacja!N44+Eksploatacja!N46)*(N1&lt;=Założenia!$D$16)</f>
        <v>0</v>
      </c>
      <c r="O77" s="7">
        <f>(Eksploatacja!O42+Eksploatacja!O44+Eksploatacja!O46)*(O1&lt;=Założenia!$D$16)</f>
        <v>0</v>
      </c>
      <c r="P77" s="7">
        <f>(Eksploatacja!P42+Eksploatacja!P44+Eksploatacja!P46)*(P1&lt;=Założenia!$D$16)</f>
        <v>500000</v>
      </c>
      <c r="Q77" s="7">
        <f>(Eksploatacja!Q42+Eksploatacja!Q44+Eksploatacja!Q46)*(Q1&lt;=Założenia!$D$16)</f>
        <v>0</v>
      </c>
      <c r="R77" s="7">
        <f>(Eksploatacja!R42+Eksploatacja!R44+Eksploatacja!R46)*(R1&lt;=Założenia!$D$16)</f>
        <v>500000</v>
      </c>
      <c r="S77" s="7">
        <f>(Eksploatacja!S42+Eksploatacja!S44+Eksploatacja!S46)*(S1&lt;=Założenia!$D$16)</f>
        <v>0</v>
      </c>
      <c r="T77" s="7">
        <f>(Eksploatacja!T42+Eksploatacja!T44+Eksploatacja!T46)*(T1&lt;=Założenia!$D$16)</f>
        <v>0</v>
      </c>
      <c r="U77" s="7">
        <f>(Eksploatacja!U42+Eksploatacja!U44+Eksploatacja!U46)*(U1&lt;=Założenia!$D$16)</f>
        <v>0</v>
      </c>
      <c r="V77" s="7">
        <f>(Eksploatacja!V42+Eksploatacja!V44+Eksploatacja!V46)*(V1&lt;=Założenia!$D$16)</f>
        <v>0</v>
      </c>
      <c r="W77" s="7">
        <f>(Eksploatacja!W42+Eksploatacja!W44+Eksploatacja!W46)*(W1&lt;=Założenia!$D$16)</f>
        <v>0</v>
      </c>
      <c r="X77" s="7">
        <f>(Eksploatacja!X42+Eksploatacja!X44+Eksploatacja!X46)*(X1&lt;=Założenia!$D$16)</f>
        <v>0</v>
      </c>
      <c r="Y77" s="7">
        <f>(Eksploatacja!Y42+Eksploatacja!Y44+Eksploatacja!Y46)*(Y1&lt;=Założenia!$D$16)</f>
        <v>0</v>
      </c>
      <c r="Z77" s="7">
        <f>(Eksploatacja!Z42+Eksploatacja!Z44+Eksploatacja!Z46)*(Z1&lt;=Założenia!$D$16)</f>
        <v>0</v>
      </c>
      <c r="AA77" s="7">
        <f>(Eksploatacja!AA42+Eksploatacja!AA44+Eksploatacja!AA46)*(AA1&lt;=Założenia!$D$16)</f>
        <v>0</v>
      </c>
      <c r="AB77" s="7">
        <f>(Eksploatacja!AB42+Eksploatacja!AB44+Eksploatacja!AB46)*(AB1&lt;=Założenia!$D$16)</f>
        <v>0</v>
      </c>
    </row>
    <row r="78" spans="1:28">
      <c r="A78" s="3" t="s">
        <v>166</v>
      </c>
      <c r="B78" s="13" t="s">
        <v>17</v>
      </c>
      <c r="E78" s="7">
        <f>Eksploatacja!E40*(E1&lt;=Założenia!$D$16)</f>
        <v>5759600</v>
      </c>
      <c r="F78" s="7">
        <f>Eksploatacja!F40*(F1&lt;=Założenia!$D$16)</f>
        <v>5759600</v>
      </c>
      <c r="G78" s="7">
        <f>Eksploatacja!G40*(G1&lt;=Założenia!$D$16)</f>
        <v>5759600</v>
      </c>
      <c r="H78" s="7">
        <f>Eksploatacja!H40*(H1&lt;=Założenia!$D$16)</f>
        <v>5759600</v>
      </c>
      <c r="I78" s="7">
        <f>Eksploatacja!I40*(I1&lt;=Założenia!$D$16)</f>
        <v>5759600</v>
      </c>
      <c r="J78" s="7">
        <f>Eksploatacja!J40*(J1&lt;=Założenia!$D$16)</f>
        <v>5119600</v>
      </c>
      <c r="K78" s="7">
        <f>Eksploatacja!K40*(K1&lt;=Założenia!$D$16)</f>
        <v>5119600</v>
      </c>
      <c r="L78" s="7">
        <f>Eksploatacja!L40*(L1&lt;=Założenia!$D$16)</f>
        <v>5119600</v>
      </c>
      <c r="M78" s="7">
        <f>Eksploatacja!M40*(M1&lt;=Założenia!$D$16)</f>
        <v>5119600</v>
      </c>
      <c r="N78" s="7">
        <f>Eksploatacja!N40*(N1&lt;=Założenia!$D$16)</f>
        <v>5119600</v>
      </c>
      <c r="O78" s="7">
        <f>Eksploatacja!O40*(O1&lt;=Założenia!$D$16)</f>
        <v>5119600</v>
      </c>
      <c r="P78" s="7">
        <f>Eksploatacja!P40*(P1&lt;=Założenia!$D$16)</f>
        <v>5119600</v>
      </c>
      <c r="Q78" s="7">
        <f>Eksploatacja!Q40*(Q1&lt;=Założenia!$D$16)</f>
        <v>5119600</v>
      </c>
      <c r="R78" s="7">
        <f>Eksploatacja!R40*(R1&lt;=Założenia!$D$16)</f>
        <v>5119600</v>
      </c>
      <c r="S78" s="7">
        <f>Eksploatacja!S40*(S1&lt;=Założenia!$D$16)</f>
        <v>5119600</v>
      </c>
      <c r="T78" s="7">
        <f>Eksploatacja!T40*(T1&lt;=Założenia!$D$16)</f>
        <v>5119600</v>
      </c>
      <c r="U78" s="7">
        <f>Eksploatacja!U40*(U1&lt;=Założenia!$D$16)</f>
        <v>5119600</v>
      </c>
      <c r="V78" s="7">
        <f>Eksploatacja!V40*(V1&lt;=Założenia!$D$16)</f>
        <v>5119600</v>
      </c>
      <c r="W78" s="7">
        <f>Eksploatacja!W40*(W1&lt;=Założenia!$D$16)</f>
        <v>0</v>
      </c>
      <c r="X78" s="7">
        <f>Eksploatacja!X40*(X1&lt;=Założenia!$D$16)</f>
        <v>0</v>
      </c>
      <c r="Y78" s="7">
        <f>Eksploatacja!Y40*(Y1&lt;=Założenia!$D$16)</f>
        <v>0</v>
      </c>
      <c r="Z78" s="7">
        <f>Eksploatacja!Z40*(Z1&lt;=Założenia!$D$16)</f>
        <v>0</v>
      </c>
      <c r="AA78" s="7">
        <f>Eksploatacja!AA40*(AA1&lt;=Założenia!$D$16)</f>
        <v>0</v>
      </c>
      <c r="AB78" s="7">
        <f>Eksploatacja!AB40*(AB1&lt;=Założenia!$D$16)</f>
        <v>0</v>
      </c>
    </row>
    <row r="79" spans="1:28">
      <c r="A79" s="3" t="s">
        <v>100</v>
      </c>
      <c r="B79" s="13" t="s">
        <v>17</v>
      </c>
      <c r="E79" s="7">
        <f>E70*(E1&lt;=Założenia!$D$16)</f>
        <v>0</v>
      </c>
      <c r="F79" s="7">
        <f>F70*(F1&lt;=Założenia!$D$16)</f>
        <v>0</v>
      </c>
      <c r="G79" s="7">
        <f>G70*(G1&lt;=Założenia!$D$16)</f>
        <v>0</v>
      </c>
      <c r="H79" s="7">
        <f>H70*(H1&lt;=Założenia!$D$16)</f>
        <v>15000</v>
      </c>
      <c r="I79" s="7">
        <f>I70*(I1&lt;=Założenia!$D$16)</f>
        <v>45000</v>
      </c>
      <c r="J79" s="7">
        <f>J70*(J1&lt;=Założenia!$D$16)</f>
        <v>60000</v>
      </c>
      <c r="K79" s="7">
        <f>K70*(K1&lt;=Założenia!$D$16)</f>
        <v>48000</v>
      </c>
      <c r="L79" s="7">
        <f>L70*(L1&lt;=Założenia!$D$16)</f>
        <v>36000</v>
      </c>
      <c r="M79" s="7">
        <f>M70*(M1&lt;=Założenia!$D$16)</f>
        <v>24000</v>
      </c>
      <c r="N79" s="7">
        <f>N70*(N1&lt;=Założenia!$D$16)</f>
        <v>12000</v>
      </c>
      <c r="O79" s="7">
        <f>O70*(O1&lt;=Założenia!$D$16)</f>
        <v>0</v>
      </c>
      <c r="P79" s="7">
        <f>P70*(P1&lt;=Założenia!$D$16)</f>
        <v>0</v>
      </c>
      <c r="Q79" s="7">
        <f>Q70*(Q1&lt;=Założenia!$D$16)</f>
        <v>0</v>
      </c>
      <c r="R79" s="7">
        <f>R70*(R1&lt;=Założenia!$D$16)</f>
        <v>0</v>
      </c>
      <c r="S79" s="7">
        <f>S70*(S1&lt;=Założenia!$D$16)</f>
        <v>0</v>
      </c>
      <c r="T79" s="7">
        <f>T70*(T1&lt;=Założenia!$D$16)</f>
        <v>0</v>
      </c>
      <c r="U79" s="7">
        <f>U70*(U1&lt;=Założenia!$D$16)</f>
        <v>0</v>
      </c>
      <c r="V79" s="7">
        <f>V70*(V1&lt;=Założenia!$D$16)</f>
        <v>0</v>
      </c>
      <c r="W79" s="7">
        <f>W70*(W1&lt;=Założenia!$D$16)</f>
        <v>0</v>
      </c>
      <c r="X79" s="7">
        <f>X70*(X1&lt;=Założenia!$D$16)</f>
        <v>0</v>
      </c>
      <c r="Y79" s="7">
        <f>Y70*(Y1&lt;=Założenia!$D$16)</f>
        <v>0</v>
      </c>
      <c r="Z79" s="7">
        <f>Z70*(Z1&lt;=Założenia!$D$16)</f>
        <v>0</v>
      </c>
      <c r="AA79" s="7">
        <f>AA70*(AA1&lt;=Założenia!$D$16)</f>
        <v>0</v>
      </c>
      <c r="AB79" s="7">
        <f>AB70*(AB1&lt;=Założenia!$D$16)</f>
        <v>0</v>
      </c>
    </row>
    <row r="80" spans="1:28">
      <c r="A80" s="3" t="s">
        <v>287</v>
      </c>
      <c r="B80" s="13" t="s">
        <v>17</v>
      </c>
      <c r="E80" s="7">
        <f>E69*(E1&lt;=Założenia!$D$16)</f>
        <v>0</v>
      </c>
      <c r="F80" s="7">
        <f>F69*(F1&lt;=Założenia!$D$16)</f>
        <v>0</v>
      </c>
      <c r="G80" s="7">
        <f>G69*(G1&lt;=Założenia!$D$16)</f>
        <v>0</v>
      </c>
      <c r="H80" s="7">
        <f>H69*(H1&lt;=Założenia!$D$16)</f>
        <v>0</v>
      </c>
      <c r="I80" s="7">
        <f>I69*(I1&lt;=Założenia!$D$16)</f>
        <v>0</v>
      </c>
      <c r="J80" s="7">
        <f>J69*(J1&lt;=Założenia!$D$16)</f>
        <v>200000</v>
      </c>
      <c r="K80" s="7">
        <f>K69*(K1&lt;=Założenia!$D$16)</f>
        <v>200000</v>
      </c>
      <c r="L80" s="7">
        <f>L69*(L1&lt;=Założenia!$D$16)</f>
        <v>200000</v>
      </c>
      <c r="M80" s="7">
        <f>M69*(M1&lt;=Założenia!$D$16)</f>
        <v>200000</v>
      </c>
      <c r="N80" s="7">
        <f>N69*(N1&lt;=Założenia!$D$16)</f>
        <v>200000</v>
      </c>
      <c r="O80" s="7">
        <f>O69*(O1&lt;=Założenia!$D$16)</f>
        <v>0</v>
      </c>
      <c r="P80" s="7">
        <f>P69*(P1&lt;=Założenia!$D$16)</f>
        <v>0</v>
      </c>
      <c r="Q80" s="7">
        <f>Q69*(Q1&lt;=Założenia!$D$16)</f>
        <v>0</v>
      </c>
      <c r="R80" s="7">
        <f>R69*(R1&lt;=Założenia!$D$16)</f>
        <v>0</v>
      </c>
      <c r="S80" s="7">
        <f>S69*(S1&lt;=Założenia!$D$16)</f>
        <v>0</v>
      </c>
      <c r="T80" s="7">
        <f>T69*(T1&lt;=Założenia!$D$16)</f>
        <v>0</v>
      </c>
      <c r="U80" s="7">
        <f>U69*(U1&lt;=Założenia!$D$16)</f>
        <v>0</v>
      </c>
      <c r="V80" s="7">
        <f>V69*(V1&lt;=Założenia!$D$16)</f>
        <v>0</v>
      </c>
      <c r="W80" s="7">
        <f>W69*(W1&lt;=Założenia!$D$16)</f>
        <v>0</v>
      </c>
      <c r="X80" s="7">
        <f>X69*(X1&lt;=Założenia!$D$16)</f>
        <v>0</v>
      </c>
      <c r="Y80" s="7">
        <f>Y69*(Y1&lt;=Założenia!$D$16)</f>
        <v>0</v>
      </c>
      <c r="Z80" s="7">
        <f>Z69*(Z1&lt;=Założenia!$D$16)</f>
        <v>0</v>
      </c>
      <c r="AA80" s="7">
        <f>AA69*(AA1&lt;=Założenia!$D$16)</f>
        <v>0</v>
      </c>
      <c r="AB80" s="7">
        <f>AB69*(AB1&lt;=Założenia!$D$16)</f>
        <v>0</v>
      </c>
    </row>
    <row r="81" spans="1:28">
      <c r="A81" t="s">
        <v>131</v>
      </c>
      <c r="B81" s="13" t="s">
        <v>17</v>
      </c>
      <c r="E81" s="7">
        <f>SUM(E82:E86)</f>
        <v>5759600</v>
      </c>
      <c r="F81" s="7">
        <f t="shared" ref="F81:AB81" si="6">SUM(F82:F86)</f>
        <v>5759600</v>
      </c>
      <c r="G81" s="7">
        <f t="shared" si="6"/>
        <v>5762600</v>
      </c>
      <c r="H81" s="7">
        <f t="shared" si="6"/>
        <v>19211600</v>
      </c>
      <c r="I81" s="7">
        <f t="shared" si="6"/>
        <v>20649600</v>
      </c>
      <c r="J81" s="7">
        <f t="shared" si="6"/>
        <v>5379600</v>
      </c>
      <c r="K81" s="7">
        <f t="shared" si="6"/>
        <v>5367600</v>
      </c>
      <c r="L81" s="7">
        <f t="shared" si="6"/>
        <v>5355600</v>
      </c>
      <c r="M81" s="7">
        <f t="shared" si="6"/>
        <v>5343600</v>
      </c>
      <c r="N81" s="7">
        <f t="shared" si="6"/>
        <v>5331600</v>
      </c>
      <c r="O81" s="7">
        <f t="shared" si="6"/>
        <v>5119600</v>
      </c>
      <c r="P81" s="7">
        <f t="shared" si="6"/>
        <v>5619600</v>
      </c>
      <c r="Q81" s="7">
        <f t="shared" si="6"/>
        <v>5119600</v>
      </c>
      <c r="R81" s="7">
        <f t="shared" si="6"/>
        <v>5619600</v>
      </c>
      <c r="S81" s="7">
        <f t="shared" si="6"/>
        <v>5119600</v>
      </c>
      <c r="T81" s="7">
        <f t="shared" si="6"/>
        <v>5119600</v>
      </c>
      <c r="U81" s="7">
        <f t="shared" si="6"/>
        <v>5119600</v>
      </c>
      <c r="V81" s="7">
        <f t="shared" si="6"/>
        <v>5119600</v>
      </c>
      <c r="W81" s="7">
        <f t="shared" si="6"/>
        <v>0</v>
      </c>
      <c r="X81" s="7">
        <f t="shared" si="6"/>
        <v>0</v>
      </c>
      <c r="Y81" s="7">
        <f t="shared" si="6"/>
        <v>0</v>
      </c>
      <c r="Z81" s="7">
        <f t="shared" si="6"/>
        <v>0</v>
      </c>
      <c r="AA81" s="7">
        <f t="shared" si="6"/>
        <v>0</v>
      </c>
      <c r="AB81" s="7">
        <f t="shared" si="6"/>
        <v>0</v>
      </c>
    </row>
    <row r="82" spans="1:28">
      <c r="A82" s="3" t="s">
        <v>286</v>
      </c>
      <c r="B82" s="13" t="s">
        <v>17</v>
      </c>
      <c r="E82" s="7">
        <f>E68*(E1&lt;=Założenia!$D$16)</f>
        <v>0</v>
      </c>
      <c r="F82" s="7">
        <f>F68*(F1&lt;=Założenia!$D$16)</f>
        <v>0</v>
      </c>
      <c r="G82" s="7">
        <f>G68*(G1&lt;=Założenia!$D$16)</f>
        <v>0</v>
      </c>
      <c r="H82" s="7">
        <f>H68*(H1&lt;=Założenia!$D$16)</f>
        <v>500000</v>
      </c>
      <c r="I82" s="7">
        <f>I68*(I1&lt;=Założenia!$D$16)</f>
        <v>500000</v>
      </c>
      <c r="J82" s="7">
        <f>J68*(J1&lt;=Założenia!$D$16)</f>
        <v>0</v>
      </c>
      <c r="K82" s="7">
        <f>K68*(K1&lt;=Założenia!$D$16)</f>
        <v>0</v>
      </c>
      <c r="L82" s="7">
        <f>L68*(L1&lt;=Założenia!$D$16)</f>
        <v>0</v>
      </c>
      <c r="M82" s="7">
        <f>M68*(M1&lt;=Założenia!$D$16)</f>
        <v>0</v>
      </c>
      <c r="N82" s="7">
        <f>N68*(N1&lt;=Założenia!$D$16)</f>
        <v>0</v>
      </c>
      <c r="O82" s="7">
        <f>O68*(O1&lt;=Założenia!$D$16)</f>
        <v>0</v>
      </c>
      <c r="P82" s="7">
        <f>P68*(P1&lt;=Założenia!$D$16)</f>
        <v>0</v>
      </c>
      <c r="Q82" s="7">
        <f>Q68*(Q1&lt;=Założenia!$D$16)</f>
        <v>0</v>
      </c>
      <c r="R82" s="7">
        <f>R68*(R1&lt;=Założenia!$D$16)</f>
        <v>0</v>
      </c>
      <c r="S82" s="7">
        <f>S68*(S1&lt;=Założenia!$D$16)</f>
        <v>0</v>
      </c>
      <c r="T82" s="7">
        <f>T68*(T1&lt;=Założenia!$D$16)</f>
        <v>0</v>
      </c>
      <c r="U82" s="7">
        <f>U68*(U1&lt;=Założenia!$D$16)</f>
        <v>0</v>
      </c>
      <c r="V82" s="7">
        <f>V68*(V1&lt;=Założenia!$D$16)</f>
        <v>0</v>
      </c>
      <c r="W82" s="7">
        <f>W68*(W1&lt;=Założenia!$D$16)</f>
        <v>0</v>
      </c>
      <c r="X82" s="7">
        <f>X68*(X1&lt;=Założenia!$D$16)</f>
        <v>0</v>
      </c>
      <c r="Y82" s="7">
        <f>Y68*(Y1&lt;=Założenia!$D$16)</f>
        <v>0</v>
      </c>
      <c r="Z82" s="7">
        <f>Z68*(Z1&lt;=Założenia!$D$16)</f>
        <v>0</v>
      </c>
      <c r="AA82" s="7">
        <f>AA68*(AA1&lt;=Założenia!$D$16)</f>
        <v>0</v>
      </c>
      <c r="AB82" s="7">
        <f>AB68*(AB1&lt;=Założenia!$D$16)</f>
        <v>0</v>
      </c>
    </row>
    <row r="83" spans="1:28">
      <c r="A83" s="3" t="s">
        <v>285</v>
      </c>
      <c r="B83" s="13" t="s">
        <v>17</v>
      </c>
      <c r="E83" s="7">
        <f>E65*(E1&lt;=Założenia!$D$16)</f>
        <v>0</v>
      </c>
      <c r="F83" s="7">
        <f>F65*(F1&lt;=Założenia!$D$16)</f>
        <v>0</v>
      </c>
      <c r="G83" s="7">
        <f>G65*(G1&lt;=Założenia!$D$16)</f>
        <v>450</v>
      </c>
      <c r="H83" s="7">
        <f>H65*(H1&lt;=Założenia!$D$16)</f>
        <v>1515550</v>
      </c>
      <c r="I83" s="7">
        <f>I65*(I1&lt;=Założenia!$D$16)</f>
        <v>1729300</v>
      </c>
      <c r="J83" s="7">
        <f>J65*(J1&lt;=Założenia!$D$16)</f>
        <v>0</v>
      </c>
      <c r="K83" s="7">
        <f>K65*(K1&lt;=Założenia!$D$16)</f>
        <v>0</v>
      </c>
      <c r="L83" s="7">
        <f>L65*(L1&lt;=Założenia!$D$16)</f>
        <v>0</v>
      </c>
      <c r="M83" s="7">
        <f>M65*(M1&lt;=Założenia!$D$16)</f>
        <v>0</v>
      </c>
      <c r="N83" s="7">
        <f>N65*(N1&lt;=Założenia!$D$16)</f>
        <v>0</v>
      </c>
      <c r="O83" s="7">
        <f>O65*(O1&lt;=Założenia!$D$16)</f>
        <v>0</v>
      </c>
      <c r="P83" s="7">
        <f>P65*(P1&lt;=Założenia!$D$16)</f>
        <v>0</v>
      </c>
      <c r="Q83" s="7">
        <f>Q65*(Q1&lt;=Założenia!$D$16)</f>
        <v>0</v>
      </c>
      <c r="R83" s="7">
        <f>R65*(R1&lt;=Założenia!$D$16)</f>
        <v>0</v>
      </c>
      <c r="S83" s="7">
        <f>S65*(S1&lt;=Założenia!$D$16)</f>
        <v>0</v>
      </c>
      <c r="T83" s="7">
        <f>T65*(T1&lt;=Założenia!$D$16)</f>
        <v>0</v>
      </c>
      <c r="U83" s="7">
        <f>U65*(U1&lt;=Założenia!$D$16)</f>
        <v>0</v>
      </c>
      <c r="V83" s="7">
        <f>V65*(V1&lt;=Założenia!$D$16)</f>
        <v>0</v>
      </c>
      <c r="W83" s="7">
        <f>W65*(W1&lt;=Założenia!$D$16)</f>
        <v>0</v>
      </c>
      <c r="X83" s="7">
        <f>X65*(X1&lt;=Założenia!$D$16)</f>
        <v>0</v>
      </c>
      <c r="Y83" s="7">
        <f>Y65*(Y1&lt;=Założenia!$D$16)</f>
        <v>0</v>
      </c>
      <c r="Z83" s="7">
        <f>Z65*(Z1&lt;=Założenia!$D$16)</f>
        <v>0</v>
      </c>
      <c r="AA83" s="7">
        <f>AA65*(AA1&lt;=Założenia!$D$16)</f>
        <v>0</v>
      </c>
      <c r="AB83" s="7">
        <f>AB65*(AB1&lt;=Założenia!$D$16)</f>
        <v>0</v>
      </c>
    </row>
    <row r="84" spans="1:28">
      <c r="A84" s="3" t="s">
        <v>93</v>
      </c>
      <c r="B84" s="13" t="s">
        <v>17</v>
      </c>
      <c r="E84" s="7">
        <f>E63*(E1&lt;=Założenia!$D$16)</f>
        <v>0</v>
      </c>
      <c r="F84" s="7">
        <f>F63*(F1&lt;=Założenia!$D$16)</f>
        <v>0</v>
      </c>
      <c r="G84" s="7">
        <f>G63*(G1&lt;=Założenia!$D$16)</f>
        <v>2550</v>
      </c>
      <c r="H84" s="7">
        <f>H63*(H1&lt;=Założenia!$D$16)</f>
        <v>11421450</v>
      </c>
      <c r="I84" s="7">
        <f>I63*(I1&lt;=Założenia!$D$16)</f>
        <v>12615700</v>
      </c>
      <c r="J84" s="7">
        <f>J63*(J1&lt;=Założenia!$D$16)</f>
        <v>0</v>
      </c>
      <c r="K84" s="7">
        <f>K63*(K1&lt;=Założenia!$D$16)</f>
        <v>0</v>
      </c>
      <c r="L84" s="7">
        <f>L63*(L1&lt;=Założenia!$D$16)</f>
        <v>0</v>
      </c>
      <c r="M84" s="7">
        <f>M63*(M1&lt;=Założenia!$D$16)</f>
        <v>0</v>
      </c>
      <c r="N84" s="7">
        <f>N63*(N1&lt;=Założenia!$D$16)</f>
        <v>0</v>
      </c>
      <c r="O84" s="7">
        <f>O63*(O1&lt;=Założenia!$D$16)</f>
        <v>0</v>
      </c>
      <c r="P84" s="7">
        <f>P63*(P1&lt;=Założenia!$D$16)</f>
        <v>0</v>
      </c>
      <c r="Q84" s="7">
        <f>Q63*(Q1&lt;=Założenia!$D$16)</f>
        <v>0</v>
      </c>
      <c r="R84" s="7">
        <f>R63*(R1&lt;=Założenia!$D$16)</f>
        <v>0</v>
      </c>
      <c r="S84" s="7">
        <f>S63*(S1&lt;=Założenia!$D$16)</f>
        <v>0</v>
      </c>
      <c r="T84" s="7">
        <f>T63*(T1&lt;=Założenia!$D$16)</f>
        <v>0</v>
      </c>
      <c r="U84" s="7">
        <f>U63*(U1&lt;=Założenia!$D$16)</f>
        <v>0</v>
      </c>
      <c r="V84" s="7">
        <f>V63*(V1&lt;=Założenia!$D$16)</f>
        <v>0</v>
      </c>
      <c r="W84" s="7">
        <f>W63*(W1&lt;=Założenia!$D$16)</f>
        <v>0</v>
      </c>
      <c r="X84" s="7">
        <f>X63*(X1&lt;=Założenia!$D$16)</f>
        <v>0</v>
      </c>
      <c r="Y84" s="7">
        <f>Y63*(Y1&lt;=Założenia!$D$16)</f>
        <v>0</v>
      </c>
      <c r="Z84" s="7">
        <f>Z63*(Z1&lt;=Założenia!$D$16)</f>
        <v>0</v>
      </c>
      <c r="AA84" s="7">
        <f>AA63*(AA1&lt;=Założenia!$D$16)</f>
        <v>0</v>
      </c>
      <c r="AB84" s="7">
        <f>AB63*(AB1&lt;=Założenia!$D$16)</f>
        <v>0</v>
      </c>
    </row>
    <row r="85" spans="1:28">
      <c r="A85" s="3" t="s">
        <v>50</v>
      </c>
      <c r="B85" s="13" t="s">
        <v>17</v>
      </c>
      <c r="E85" s="7">
        <f>SUM(Eksploatacja!E48:E51)*(E1&lt;=Założenia!$D$16)</f>
        <v>40000</v>
      </c>
      <c r="F85" s="7">
        <f>SUM(Eksploatacja!F48:F51)*(F1&lt;=Założenia!$D$16)</f>
        <v>40085</v>
      </c>
      <c r="G85" s="7">
        <f>SUM(Eksploatacja!G48:G51)*(G1&lt;=Założenia!$D$16)</f>
        <v>40170.724999999999</v>
      </c>
      <c r="H85" s="7">
        <f>SUM(Eksploatacja!H48:H51)*(H1&lt;=Założenia!$D$16)</f>
        <v>40257.175000000003</v>
      </c>
      <c r="I85" s="7">
        <f>SUM(Eksploatacja!I48:I51)*(I1&lt;=Założenia!$D$16)</f>
        <v>40344.36</v>
      </c>
      <c r="J85" s="7">
        <f>SUM(Eksploatacja!J48:J51)*(J1&lt;=Założenia!$D$16)</f>
        <v>112432.285</v>
      </c>
      <c r="K85" s="7">
        <f>SUM(Eksploatacja!K48:K51)*(K1&lt;=Założenia!$D$16)</f>
        <v>112520.95999999999</v>
      </c>
      <c r="L85" s="7">
        <f>SUM(Eksploatacja!L48:L51)*(L1&lt;=Założenia!$D$16)</f>
        <v>112610.39</v>
      </c>
      <c r="M85" s="7">
        <f>SUM(Eksploatacja!M48:M51)*(M1&lt;=Założenia!$D$16)</f>
        <v>112700.58</v>
      </c>
      <c r="N85" s="7">
        <f>SUM(Eksploatacja!N48:N51)*(N1&lt;=Założenia!$D$16)</f>
        <v>112791.53</v>
      </c>
      <c r="O85" s="7">
        <f>SUM(Eksploatacja!O48:O51)*(O1&lt;=Założenia!$D$16)</f>
        <v>112883.26</v>
      </c>
      <c r="P85" s="7">
        <f>SUM(Eksploatacja!P48:P51)*(P1&lt;=Założenia!$D$16)</f>
        <v>112975.77</v>
      </c>
      <c r="Q85" s="7">
        <f>SUM(Eksploatacja!Q48:Q51)*(Q1&lt;=Założenia!$D$16)</f>
        <v>113069.06</v>
      </c>
      <c r="R85" s="7">
        <f>SUM(Eksploatacja!R48:R51)*(R1&lt;=Założenia!$D$16)</f>
        <v>113163.15</v>
      </c>
      <c r="S85" s="7">
        <f>SUM(Eksploatacja!S48:S51)*(S1&lt;=Założenia!$D$16)</f>
        <v>113258.035</v>
      </c>
      <c r="T85" s="7">
        <f>SUM(Eksploatacja!T48:T51)*(T1&lt;=Założenia!$D$16)</f>
        <v>113353.73</v>
      </c>
      <c r="U85" s="7">
        <f>SUM(Eksploatacja!U48:U51)*(U1&lt;=Założenia!$D$16)</f>
        <v>113450.235</v>
      </c>
      <c r="V85" s="7">
        <f>SUM(Eksploatacja!V48:V51)*(V1&lt;=Założenia!$D$16)</f>
        <v>113547.565</v>
      </c>
      <c r="W85" s="7">
        <f>SUM(Eksploatacja!W48:W51)*(W1&lt;=Założenia!$D$16)</f>
        <v>0</v>
      </c>
      <c r="X85" s="7">
        <f>SUM(Eksploatacja!X48:X51)*(X1&lt;=Założenia!$D$16)</f>
        <v>0</v>
      </c>
      <c r="Y85" s="7">
        <f>SUM(Eksploatacja!Y48:Y51)*(Y1&lt;=Założenia!$D$16)</f>
        <v>0</v>
      </c>
      <c r="Z85" s="7">
        <f>SUM(Eksploatacja!Z48:Z51)*(Z1&lt;=Założenia!$D$16)</f>
        <v>0</v>
      </c>
      <c r="AA85" s="7">
        <f>SUM(Eksploatacja!AA48:AA51)*(AA1&lt;=Założenia!$D$16)</f>
        <v>0</v>
      </c>
      <c r="AB85" s="7">
        <f>SUM(Eksploatacja!AB48:AB51)*(AB1&lt;=Założenia!$D$16)</f>
        <v>0</v>
      </c>
    </row>
    <row r="86" spans="1:28">
      <c r="A86" s="3" t="s">
        <v>297</v>
      </c>
      <c r="B86" s="13" t="s">
        <v>17</v>
      </c>
      <c r="E86" s="7">
        <f>-1*(SUM(E82:E85)-E75)</f>
        <v>5719600</v>
      </c>
      <c r="F86" s="7">
        <f t="shared" ref="F86:AB86" si="7">-1*(SUM(F82:F85)-F75)</f>
        <v>5719515</v>
      </c>
      <c r="G86" s="7">
        <f t="shared" si="7"/>
        <v>5719429.2750000004</v>
      </c>
      <c r="H86" s="7">
        <f t="shared" si="7"/>
        <v>5734342.8249999993</v>
      </c>
      <c r="I86" s="7">
        <f t="shared" si="7"/>
        <v>5764255.6400000006</v>
      </c>
      <c r="J86" s="7">
        <f t="shared" si="7"/>
        <v>5267167.7149999999</v>
      </c>
      <c r="K86" s="7">
        <f t="shared" si="7"/>
        <v>5255079.04</v>
      </c>
      <c r="L86" s="7">
        <f t="shared" si="7"/>
        <v>5242989.6100000003</v>
      </c>
      <c r="M86" s="7">
        <f t="shared" si="7"/>
        <v>5230899.42</v>
      </c>
      <c r="N86" s="7">
        <f t="shared" si="7"/>
        <v>5218808.47</v>
      </c>
      <c r="O86" s="7">
        <f t="shared" si="7"/>
        <v>5006716.74</v>
      </c>
      <c r="P86" s="7">
        <f t="shared" si="7"/>
        <v>5506624.2300000004</v>
      </c>
      <c r="Q86" s="7">
        <f t="shared" si="7"/>
        <v>5006530.9400000004</v>
      </c>
      <c r="R86" s="7">
        <f t="shared" si="7"/>
        <v>5506436.8499999996</v>
      </c>
      <c r="S86" s="7">
        <f t="shared" si="7"/>
        <v>5006341.9649999999</v>
      </c>
      <c r="T86" s="7">
        <f t="shared" si="7"/>
        <v>5006246.2699999996</v>
      </c>
      <c r="U86" s="7">
        <f t="shared" si="7"/>
        <v>5006149.7649999997</v>
      </c>
      <c r="V86" s="7">
        <f t="shared" si="7"/>
        <v>5006052.4349999996</v>
      </c>
      <c r="W86" s="7">
        <f t="shared" si="7"/>
        <v>0</v>
      </c>
      <c r="X86" s="7">
        <f t="shared" si="7"/>
        <v>0</v>
      </c>
      <c r="Y86" s="7">
        <f t="shared" si="7"/>
        <v>0</v>
      </c>
      <c r="Z86" s="7">
        <f t="shared" si="7"/>
        <v>0</v>
      </c>
      <c r="AA86" s="7">
        <f t="shared" si="7"/>
        <v>0</v>
      </c>
      <c r="AB86" s="7">
        <f t="shared" si="7"/>
        <v>0</v>
      </c>
    </row>
    <row r="87" spans="1:28">
      <c r="A87" t="s">
        <v>295</v>
      </c>
      <c r="B87" s="13" t="s">
        <v>17</v>
      </c>
      <c r="E87" s="7">
        <f>E81-E75</f>
        <v>0</v>
      </c>
      <c r="F87" s="7">
        <f t="shared" ref="F87:AB87" si="8">F81-F75</f>
        <v>0</v>
      </c>
      <c r="G87" s="7">
        <f t="shared" si="8"/>
        <v>0</v>
      </c>
      <c r="H87" s="7">
        <f t="shared" si="8"/>
        <v>0</v>
      </c>
      <c r="I87" s="7">
        <f t="shared" si="8"/>
        <v>0</v>
      </c>
      <c r="J87" s="7">
        <f t="shared" si="8"/>
        <v>0</v>
      </c>
      <c r="K87" s="7">
        <f t="shared" si="8"/>
        <v>0</v>
      </c>
      <c r="L87" s="7">
        <f t="shared" si="8"/>
        <v>0</v>
      </c>
      <c r="M87" s="7">
        <f t="shared" si="8"/>
        <v>0</v>
      </c>
      <c r="N87" s="7">
        <f t="shared" si="8"/>
        <v>0</v>
      </c>
      <c r="O87" s="7">
        <f t="shared" si="8"/>
        <v>0</v>
      </c>
      <c r="P87" s="7">
        <f t="shared" si="8"/>
        <v>0</v>
      </c>
      <c r="Q87" s="7">
        <f t="shared" si="8"/>
        <v>0</v>
      </c>
      <c r="R87" s="7">
        <f t="shared" si="8"/>
        <v>0</v>
      </c>
      <c r="S87" s="7">
        <f t="shared" si="8"/>
        <v>0</v>
      </c>
      <c r="T87" s="7">
        <f t="shared" si="8"/>
        <v>0</v>
      </c>
      <c r="U87" s="7">
        <f t="shared" si="8"/>
        <v>0</v>
      </c>
      <c r="V87" s="7">
        <f t="shared" si="8"/>
        <v>0</v>
      </c>
      <c r="W87" s="7">
        <f t="shared" si="8"/>
        <v>0</v>
      </c>
      <c r="X87" s="7">
        <f t="shared" si="8"/>
        <v>0</v>
      </c>
      <c r="Y87" s="7">
        <f t="shared" si="8"/>
        <v>0</v>
      </c>
      <c r="Z87" s="7">
        <f t="shared" si="8"/>
        <v>0</v>
      </c>
      <c r="AA87" s="7">
        <f t="shared" si="8"/>
        <v>0</v>
      </c>
      <c r="AB87" s="7">
        <f t="shared" si="8"/>
        <v>0</v>
      </c>
    </row>
    <row r="88" spans="1:28">
      <c r="A88" t="s">
        <v>296</v>
      </c>
      <c r="B88" s="13" t="s">
        <v>17</v>
      </c>
      <c r="E88" s="7">
        <f>D88+E87</f>
        <v>0</v>
      </c>
      <c r="F88" s="7">
        <f t="shared" ref="F88:AB88" si="9">E88+F87</f>
        <v>0</v>
      </c>
      <c r="G88" s="7">
        <f t="shared" si="9"/>
        <v>0</v>
      </c>
      <c r="H88" s="7">
        <f t="shared" si="9"/>
        <v>0</v>
      </c>
      <c r="I88" s="7">
        <f t="shared" si="9"/>
        <v>0</v>
      </c>
      <c r="J88" s="7">
        <f t="shared" si="9"/>
        <v>0</v>
      </c>
      <c r="K88" s="7">
        <f t="shared" si="9"/>
        <v>0</v>
      </c>
      <c r="L88" s="7">
        <f t="shared" si="9"/>
        <v>0</v>
      </c>
      <c r="M88" s="7">
        <f t="shared" si="9"/>
        <v>0</v>
      </c>
      <c r="N88" s="7">
        <f t="shared" si="9"/>
        <v>0</v>
      </c>
      <c r="O88" s="7">
        <f t="shared" si="9"/>
        <v>0</v>
      </c>
      <c r="P88" s="7">
        <f t="shared" si="9"/>
        <v>0</v>
      </c>
      <c r="Q88" s="7">
        <f t="shared" si="9"/>
        <v>0</v>
      </c>
      <c r="R88" s="7">
        <f t="shared" si="9"/>
        <v>0</v>
      </c>
      <c r="S88" s="7">
        <f t="shared" si="9"/>
        <v>0</v>
      </c>
      <c r="T88" s="7">
        <f t="shared" si="9"/>
        <v>0</v>
      </c>
      <c r="U88" s="7">
        <f t="shared" si="9"/>
        <v>0</v>
      </c>
      <c r="V88" s="7">
        <f t="shared" si="9"/>
        <v>0</v>
      </c>
      <c r="W88" s="7">
        <f t="shared" si="9"/>
        <v>0</v>
      </c>
      <c r="X88" s="7">
        <f t="shared" si="9"/>
        <v>0</v>
      </c>
      <c r="Y88" s="7">
        <f t="shared" si="9"/>
        <v>0</v>
      </c>
      <c r="Z88" s="7">
        <f t="shared" si="9"/>
        <v>0</v>
      </c>
      <c r="AA88" s="7">
        <f t="shared" si="9"/>
        <v>0</v>
      </c>
      <c r="AB88" s="7">
        <f t="shared" si="9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9"/>
  <sheetViews>
    <sheetView workbookViewId="0"/>
  </sheetViews>
  <sheetFormatPr defaultRowHeight="14.4"/>
  <cols>
    <col min="1" max="1" width="34.109375" bestFit="1" customWidth="1"/>
    <col min="2" max="2" width="9.109375" style="13"/>
    <col min="4" max="4" width="15.44140625" customWidth="1"/>
    <col min="5" max="28" width="13.6640625" customWidth="1"/>
    <col min="29" max="35" width="12.6640625" customWidth="1"/>
  </cols>
  <sheetData>
    <row r="1" spans="1:28">
      <c r="A1" s="4" t="s">
        <v>2</v>
      </c>
      <c r="B1" s="12" t="s">
        <v>3</v>
      </c>
      <c r="C1" s="4"/>
      <c r="D1" s="4" t="s">
        <v>279</v>
      </c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274</v>
      </c>
      <c r="B3" s="13" t="s">
        <v>17</v>
      </c>
      <c r="D3" s="32">
        <f>SUMPRODUCT(E3:AB3,Założenia!$E$20:$AB$20)*-1</f>
        <v>-24094763.106796116</v>
      </c>
      <c r="E3" s="7">
        <f>Założenia!E103*(E1&lt;=Założenia!$D$16)</f>
        <v>0</v>
      </c>
      <c r="F3" s="7">
        <f>Założenia!F103*(F1&lt;=Założenia!$D$16)</f>
        <v>0</v>
      </c>
      <c r="G3" s="7">
        <f>Założenia!G103*(G1&lt;=Założenia!$D$16)</f>
        <v>2490</v>
      </c>
      <c r="H3" s="7">
        <f>Założenia!H103*(H1&lt;=Założenia!$D$16)</f>
        <v>11632710</v>
      </c>
      <c r="I3" s="7">
        <f>Założenia!I103*(I1&lt;=Założenia!$D$16)</f>
        <v>12833350</v>
      </c>
      <c r="J3" s="7">
        <f>Założenia!J103*(J1&lt;=Założenia!$D$16)</f>
        <v>0</v>
      </c>
      <c r="K3" s="7">
        <f>Założenia!K103*(K1&lt;=Założenia!$D$16)</f>
        <v>0</v>
      </c>
      <c r="L3" s="7">
        <f>Założenia!L103*(L1&lt;=Założenia!$D$16)</f>
        <v>0</v>
      </c>
      <c r="M3" s="7">
        <f>Założenia!M103*(M1&lt;=Założenia!$D$16)</f>
        <v>0</v>
      </c>
      <c r="N3" s="7">
        <f>Założenia!N103*(N1&lt;=Założenia!$D$16)</f>
        <v>0</v>
      </c>
      <c r="O3" s="7">
        <f>Założenia!O103*(O1&lt;=Założenia!$D$16)</f>
        <v>0</v>
      </c>
      <c r="P3" s="7">
        <f>Założenia!P103*(P1&lt;=Założenia!$D$16)</f>
        <v>0</v>
      </c>
      <c r="Q3" s="7">
        <f>Założenia!Q103*(Q1&lt;=Założenia!$D$16)</f>
        <v>0</v>
      </c>
      <c r="R3" s="7">
        <f>Założenia!R103*(R1&lt;=Założenia!$D$16)</f>
        <v>0</v>
      </c>
      <c r="S3" s="7">
        <f>Założenia!S103*(S1&lt;=Założenia!$D$16)</f>
        <v>0</v>
      </c>
      <c r="T3" s="7">
        <f>Założenia!T103*(T1&lt;=Założenia!$D$16)</f>
        <v>0</v>
      </c>
      <c r="U3" s="7">
        <f>Założenia!U103*(U1&lt;=Założenia!$D$16)</f>
        <v>0</v>
      </c>
      <c r="V3" s="7">
        <f>Założenia!V103*(V1&lt;=Założenia!$D$16)</f>
        <v>0</v>
      </c>
      <c r="W3" s="7">
        <f>Założenia!W103*(W1&lt;=Założenia!$D$16)</f>
        <v>0</v>
      </c>
      <c r="X3" s="7">
        <f>Założenia!X103*(X1&lt;=Założenia!$D$16)</f>
        <v>0</v>
      </c>
      <c r="Y3" s="7">
        <f>Założenia!Y103*(Y1&lt;=Założenia!$D$16)</f>
        <v>0</v>
      </c>
      <c r="Z3" s="7">
        <f>Założenia!Z103*(Z1&lt;=Założenia!$D$16)</f>
        <v>0</v>
      </c>
      <c r="AA3" s="7">
        <f>Założenia!AA103*(AA1&lt;=Założenia!$D$16)</f>
        <v>0</v>
      </c>
      <c r="AB3" s="7">
        <f>Założenia!AB103*(AB1&lt;=Założenia!$D$16)</f>
        <v>0</v>
      </c>
    </row>
    <row r="4" spans="1:28">
      <c r="A4" t="s">
        <v>275</v>
      </c>
      <c r="B4" s="13" t="s">
        <v>17</v>
      </c>
      <c r="D4" s="32">
        <f>SUMPRODUCT(E4:AB4,Założenia!$E$20:$AB$20)*-1</f>
        <v>222701.69658758625</v>
      </c>
      <c r="E4" s="7">
        <f>Eksploatacja!E57*Założenia!$D$11*(E1&lt;=Założenia!$D$16)</f>
        <v>0</v>
      </c>
      <c r="F4" s="7">
        <f>Eksploatacja!F57*Założenia!$D$11*(F1&lt;=Założenia!$D$16)</f>
        <v>0</v>
      </c>
      <c r="G4" s="7">
        <f>Eksploatacja!G57*Założenia!$D$11*(G1&lt;=Założenia!$D$16)</f>
        <v>0</v>
      </c>
      <c r="H4" s="7">
        <f>Eksploatacja!H57*Założenia!$D$11*(H1&lt;=Założenia!$D$16)</f>
        <v>0</v>
      </c>
      <c r="I4" s="7">
        <f>Eksploatacja!I57*Założenia!$D$11*(I1&lt;=Założenia!$D$16)</f>
        <v>0</v>
      </c>
      <c r="J4" s="7">
        <f>Eksploatacja!J57*Założenia!$D$11*(J1&lt;=Założenia!$D$16)</f>
        <v>0</v>
      </c>
      <c r="K4" s="7">
        <f>Eksploatacja!K57*Założenia!$D$11*(K1&lt;=Założenia!$D$16)</f>
        <v>-522000</v>
      </c>
      <c r="L4" s="7">
        <f>Eksploatacja!L57*Założenia!$D$11*(L1&lt;=Założenia!$D$16)</f>
        <v>0</v>
      </c>
      <c r="M4" s="7">
        <f>Eksploatacja!M57*Założenia!$D$11*(M1&lt;=Założenia!$D$16)</f>
        <v>0</v>
      </c>
      <c r="N4" s="7">
        <f>Eksploatacja!N57*Założenia!$D$11*(N1&lt;=Założenia!$D$16)</f>
        <v>0</v>
      </c>
      <c r="O4" s="7">
        <f>Eksploatacja!O57*Założenia!$D$11*(O1&lt;=Założenia!$D$16)</f>
        <v>0</v>
      </c>
      <c r="P4" s="7">
        <f>Eksploatacja!P57*Założenia!$D$11*(P1&lt;=Założenia!$D$16)</f>
        <v>-87000</v>
      </c>
      <c r="Q4" s="7">
        <f>Eksploatacja!Q57*Założenia!$D$11*(Q1&lt;=Założenia!$D$16)</f>
        <v>0</v>
      </c>
      <c r="R4" s="7">
        <f>Eksploatacja!R57*Założenia!$D$11*(R1&lt;=Założenia!$D$16)</f>
        <v>435000</v>
      </c>
      <c r="S4" s="7">
        <f>Eksploatacja!S57*Założenia!$D$11*(S1&lt;=Założenia!$D$16)</f>
        <v>0</v>
      </c>
      <c r="T4" s="7">
        <f>Eksploatacja!T57*Założenia!$D$11*(T1&lt;=Założenia!$D$16)</f>
        <v>0</v>
      </c>
      <c r="U4" s="7">
        <f>Eksploatacja!U57*Założenia!$D$11*(U1&lt;=Założenia!$D$16)</f>
        <v>0</v>
      </c>
      <c r="V4" s="7">
        <f>Eksploatacja!V57*Założenia!$D$11*(V1&lt;=Założenia!$D$16)</f>
        <v>0</v>
      </c>
      <c r="W4" s="7">
        <f>Eksploatacja!W57*Założenia!$D$11*(W1&lt;=Założenia!$D$16)</f>
        <v>0</v>
      </c>
      <c r="X4" s="7">
        <f>Eksploatacja!X57*Założenia!$D$11*(X1&lt;=Założenia!$D$16)</f>
        <v>0</v>
      </c>
      <c r="Y4" s="7">
        <f>Eksploatacja!Y57*Założenia!$D$11*(Y1&lt;=Założenia!$D$16)</f>
        <v>0</v>
      </c>
      <c r="Z4" s="7">
        <f>Eksploatacja!Z57*Założenia!$D$11*(Z1&lt;=Założenia!$D$16)</f>
        <v>0</v>
      </c>
      <c r="AA4" s="7">
        <f>Eksploatacja!AA57*Założenia!$D$11*(AA1&lt;=Założenia!$D$16)</f>
        <v>0</v>
      </c>
      <c r="AB4" s="7">
        <f>Eksploatacja!AB57*Założenia!$D$11*(AB1&lt;=Założenia!$D$16)</f>
        <v>0</v>
      </c>
    </row>
    <row r="5" spans="1:28">
      <c r="A5" t="s">
        <v>276</v>
      </c>
      <c r="B5" s="13" t="s">
        <v>17</v>
      </c>
      <c r="D5" s="32">
        <f>SUMPRODUCT(E5:AB5,Założenia!$E$20:$AB$20)*-1</f>
        <v>5352583.3445804771</v>
      </c>
      <c r="E5" s="7">
        <f>Eksploatacja!E56*Założenia!$D$13*(E1&lt;=Założenia!$D$16)</f>
        <v>0</v>
      </c>
      <c r="F5" s="7">
        <f>Eksploatacja!F56*Założenia!$D$13*(F1&lt;=Założenia!$D$16)</f>
        <v>0</v>
      </c>
      <c r="G5" s="7">
        <f>Eksploatacja!G56*Założenia!$D$13*(G1&lt;=Założenia!$D$16)</f>
        <v>0</v>
      </c>
      <c r="H5" s="7">
        <f>Eksploatacja!H56*Założenia!$D$13*(H1&lt;=Założenia!$D$16)</f>
        <v>0</v>
      </c>
      <c r="I5" s="7">
        <f>Eksploatacja!I56*Założenia!$D$13*(I1&lt;=Założenia!$D$16)</f>
        <v>0</v>
      </c>
      <c r="J5" s="7">
        <f>Eksploatacja!J56*Założenia!$D$13*(J1&lt;=Założenia!$D$16)</f>
        <v>-518400.00000000006</v>
      </c>
      <c r="K5" s="7">
        <f>Eksploatacja!K56*Założenia!$D$13*(K1&lt;=Założenia!$D$16)</f>
        <v>-518400.00000000006</v>
      </c>
      <c r="L5" s="7">
        <f>Eksploatacja!L56*Założenia!$D$13*(L1&lt;=Założenia!$D$16)</f>
        <v>-518400.00000000006</v>
      </c>
      <c r="M5" s="7">
        <f>Eksploatacja!M56*Założenia!$D$13*(M1&lt;=Założenia!$D$16)</f>
        <v>-518400.00000000006</v>
      </c>
      <c r="N5" s="7">
        <f>Eksploatacja!N56*Założenia!$D$13*(N1&lt;=Założenia!$D$16)</f>
        <v>-518400.00000000006</v>
      </c>
      <c r="O5" s="7">
        <f>Eksploatacja!O56*Założenia!$D$13*(O1&lt;=Założenia!$D$16)</f>
        <v>-518400.00000000006</v>
      </c>
      <c r="P5" s="7">
        <f>Eksploatacja!P56*Założenia!$D$13*(P1&lt;=Założenia!$D$16)</f>
        <v>-518400.00000000006</v>
      </c>
      <c r="Q5" s="7">
        <f>Eksploatacja!Q56*Założenia!$D$13*(Q1&lt;=Założenia!$D$16)</f>
        <v>-518400.00000000006</v>
      </c>
      <c r="R5" s="7">
        <f>Eksploatacja!R56*Założenia!$D$13*(R1&lt;=Założenia!$D$16)</f>
        <v>-518400.00000000006</v>
      </c>
      <c r="S5" s="7">
        <f>Eksploatacja!S56*Założenia!$D$13*(S1&lt;=Założenia!$D$16)</f>
        <v>-518400.00000000006</v>
      </c>
      <c r="T5" s="7">
        <f>Eksploatacja!T56*Założenia!$D$13*(T1&lt;=Założenia!$D$16)</f>
        <v>-518400.00000000006</v>
      </c>
      <c r="U5" s="7">
        <f>Eksploatacja!U56*Założenia!$D$13*(U1&lt;=Założenia!$D$16)</f>
        <v>-518400.00000000006</v>
      </c>
      <c r="V5" s="7">
        <f>Eksploatacja!V56*Założenia!$D$13*(V1&lt;=Założenia!$D$16)</f>
        <v>-518400.00000000006</v>
      </c>
      <c r="W5" s="7">
        <f>Eksploatacja!W56*Założenia!$D$13*(W1&lt;=Założenia!$D$16)</f>
        <v>0</v>
      </c>
      <c r="X5" s="7">
        <f>Eksploatacja!X56*Założenia!$D$13*(X1&lt;=Założenia!$D$16)</f>
        <v>0</v>
      </c>
      <c r="Y5" s="7">
        <f>Eksploatacja!Y56*Założenia!$D$13*(Y1&lt;=Założenia!$D$16)</f>
        <v>0</v>
      </c>
      <c r="Z5" s="7">
        <f>Eksploatacja!Z56*Założenia!$D$13*(Z1&lt;=Założenia!$D$16)</f>
        <v>0</v>
      </c>
      <c r="AA5" s="7">
        <f>Eksploatacja!AA56*Założenia!$D$13*(AA1&lt;=Założenia!$D$16)</f>
        <v>0</v>
      </c>
      <c r="AB5" s="7">
        <f>Eksploatacja!AB56*Założenia!$D$13*(AB1&lt;=Założenia!$D$16)</f>
        <v>0</v>
      </c>
    </row>
    <row r="6" spans="1:28">
      <c r="A6" t="s">
        <v>277</v>
      </c>
      <c r="B6" s="13" t="s">
        <v>17</v>
      </c>
      <c r="D6" s="1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3" t="s">
        <v>249</v>
      </c>
      <c r="B7" s="13" t="s">
        <v>17</v>
      </c>
      <c r="D7" s="32">
        <f>SUMPRODUCT(E7:AB7,Założenia!$E$20:$AB$20)</f>
        <v>8846563.8795350865</v>
      </c>
      <c r="E7" s="7">
        <f>KorzysciEkonomiczne!E41*(E1&lt;=Założenia!$D$16)</f>
        <v>0</v>
      </c>
      <c r="F7" s="7">
        <f>KorzysciEkonomiczne!F41*(F1&lt;=Założenia!$D$16)</f>
        <v>0</v>
      </c>
      <c r="G7" s="7">
        <f>KorzysciEkonomiczne!G41*(G1&lt;=Założenia!$D$16)</f>
        <v>0</v>
      </c>
      <c r="H7" s="7">
        <f>KorzysciEkonomiczne!H41*(H1&lt;=Założenia!$D$16)</f>
        <v>0</v>
      </c>
      <c r="I7" s="7">
        <f>KorzysciEkonomiczne!I41*(I1&lt;=Założenia!$D$16)</f>
        <v>0</v>
      </c>
      <c r="J7" s="7">
        <f>KorzysciEkonomiczne!J41*(J1&lt;=Założenia!$D$16)</f>
        <v>315955.54581198836</v>
      </c>
      <c r="K7" s="7">
        <f>KorzysciEkonomiczne!K41*(K1&lt;=Założenia!$D$16)</f>
        <v>362382.84359119128</v>
      </c>
      <c r="L7" s="7">
        <f>KorzysciEkonomiczne!L41*(L1&lt;=Założenia!$D$16)</f>
        <v>434955.4223449186</v>
      </c>
      <c r="M7" s="7">
        <f>KorzysciEkonomiczne!M41*(M1&lt;=Założenia!$D$16)</f>
        <v>534969.91286440706</v>
      </c>
      <c r="N7" s="7">
        <f>KorzysciEkonomiczne!N41*(N1&lt;=Założenia!$D$16)</f>
        <v>645318.11223333469</v>
      </c>
      <c r="O7" s="7">
        <f>KorzysciEkonomiczne!O41*(O1&lt;=Założenia!$D$16)</f>
        <v>766000.0204517009</v>
      </c>
      <c r="P7" s="7">
        <f>KorzysciEkonomiczne!P41*(P1&lt;=Założenia!$D$16)</f>
        <v>897015.63751950604</v>
      </c>
      <c r="Q7" s="7">
        <f>KorzysciEkonomiczne!Q41*(Q1&lt;=Założenia!$D$16)</f>
        <v>1006049.8466036654</v>
      </c>
      <c r="R7" s="7">
        <f>KorzysciEkonomiczne!R41*(R1&lt;=Założenia!$D$16)</f>
        <v>1118096.3589645994</v>
      </c>
      <c r="S7" s="7">
        <f>KorzysciEkonomiczne!S41*(S1&lt;=Założenia!$D$16)</f>
        <v>1235633.118352362</v>
      </c>
      <c r="T7" s="7">
        <f>KorzysciEkonomiczne!T41*(T1&lt;=Założenia!$D$16)</f>
        <v>1358660.1247669528</v>
      </c>
      <c r="U7" s="7">
        <f>KorzysciEkonomiczne!U41*(U1&lt;=Założenia!$D$16)</f>
        <v>1487177.378208372</v>
      </c>
      <c r="V7" s="7">
        <f>KorzysciEkonomiczne!V41*(V1&lt;=Założenia!$D$16)</f>
        <v>1567807.4770268982</v>
      </c>
      <c r="W7" s="7">
        <f>KorzysciEkonomiczne!W41*(W1&lt;=Założenia!$D$16)</f>
        <v>0</v>
      </c>
      <c r="X7" s="7">
        <f>KorzysciEkonomiczne!X41*(X1&lt;=Założenia!$D$16)</f>
        <v>0</v>
      </c>
      <c r="Y7" s="7">
        <f>KorzysciEkonomiczne!Y41*(Y1&lt;=Założenia!$D$16)</f>
        <v>0</v>
      </c>
      <c r="Z7" s="7">
        <f>KorzysciEkonomiczne!Z41*(Z1&lt;=Założenia!$D$16)</f>
        <v>0</v>
      </c>
      <c r="AA7" s="7">
        <f>KorzysciEkonomiczne!AA41*(AA1&lt;=Założenia!$D$16)</f>
        <v>0</v>
      </c>
      <c r="AB7" s="7">
        <f>KorzysciEkonomiczne!AB41*(AB1&lt;=Założenia!$D$16)</f>
        <v>0</v>
      </c>
    </row>
    <row r="8" spans="1:28">
      <c r="A8" s="3" t="s">
        <v>255</v>
      </c>
      <c r="B8" s="13" t="s">
        <v>17</v>
      </c>
      <c r="D8" s="32">
        <f>SUMPRODUCT(E8:AB8,Założenia!$E$20:$AB$20)</f>
        <v>21146025.817168783</v>
      </c>
      <c r="E8" s="7">
        <f>KorzysciEkonomiczne!E62*(E1&lt;=Założenia!$D$16)</f>
        <v>0</v>
      </c>
      <c r="F8" s="7">
        <f>KorzysciEkonomiczne!F62*(F1&lt;=Założenia!$D$16)</f>
        <v>0</v>
      </c>
      <c r="G8" s="7">
        <f>KorzysciEkonomiczne!G62*(G1&lt;=Założenia!$D$16)</f>
        <v>0</v>
      </c>
      <c r="H8" s="7">
        <f>KorzysciEkonomiczne!H62*(H1&lt;=Założenia!$D$16)</f>
        <v>0</v>
      </c>
      <c r="I8" s="7">
        <f>KorzysciEkonomiczne!I62*(I1&lt;=Założenia!$D$16)</f>
        <v>0</v>
      </c>
      <c r="J8" s="7">
        <f>KorzysciEkonomiczne!J62*(J1&lt;=Założenia!$D$16)</f>
        <v>1821141.313134819</v>
      </c>
      <c r="K8" s="7">
        <f>KorzysciEkonomiczne!K62*(K1&lt;=Założenia!$D$16)</f>
        <v>1862268.7040428801</v>
      </c>
      <c r="L8" s="7">
        <f>KorzysciEkonomiczne!L62*(L1&lt;=Założenia!$D$16)</f>
        <v>1906065.2913393155</v>
      </c>
      <c r="M8" s="7">
        <f>KorzysciEkonomiczne!M62*(M1&lt;=Założenia!$D$16)</f>
        <v>1948696.8634108778</v>
      </c>
      <c r="N8" s="7">
        <f>KorzysciEkonomiczne!N62*(N1&lt;=Założenia!$D$16)</f>
        <v>1991359.8448396914</v>
      </c>
      <c r="O8" s="7">
        <f>KorzysciEkonomiczne!O62*(O1&lt;=Założenia!$D$16)</f>
        <v>2030721.2200968228</v>
      </c>
      <c r="P8" s="7">
        <f>KorzysciEkonomiczne!P62*(P1&lt;=Założenia!$D$16)</f>
        <v>2069567.6664723137</v>
      </c>
      <c r="Q8" s="7">
        <f>KorzysciEkonomiczne!Q62*(Q1&lt;=Założenia!$D$16)</f>
        <v>2109491.8241830212</v>
      </c>
      <c r="R8" s="7">
        <f>KorzysciEkonomiczne!R62*(R1&lt;=Założenia!$D$16)</f>
        <v>2148787.475349498</v>
      </c>
      <c r="S8" s="7">
        <f>KorzysciEkonomiczne!S62*(S1&lt;=Założenia!$D$16)</f>
        <v>2185519.817186296</v>
      </c>
      <c r="T8" s="7">
        <f>KorzysciEkonomiczne!T62*(T1&lt;=Założenia!$D$16)</f>
        <v>2221372.1310008322</v>
      </c>
      <c r="U8" s="7">
        <f>KorzysciEkonomiczne!U62*(U1&lt;=Założenia!$D$16)</f>
        <v>2254448.46697737</v>
      </c>
      <c r="V8" s="7">
        <f>KorzysciEkonomiczne!V62*(V1&lt;=Założenia!$D$16)</f>
        <v>2284565.528095379</v>
      </c>
      <c r="W8" s="7">
        <f>KorzysciEkonomiczne!W62*(W1&lt;=Założenia!$D$16)</f>
        <v>0</v>
      </c>
      <c r="X8" s="7">
        <f>KorzysciEkonomiczne!X62*(X1&lt;=Założenia!$D$16)</f>
        <v>0</v>
      </c>
      <c r="Y8" s="7">
        <f>KorzysciEkonomiczne!Y62*(Y1&lt;=Założenia!$D$16)</f>
        <v>0</v>
      </c>
      <c r="Z8" s="7">
        <f>KorzysciEkonomiczne!Z62*(Z1&lt;=Założenia!$D$16)</f>
        <v>0</v>
      </c>
      <c r="AA8" s="7">
        <f>KorzysciEkonomiczne!AA62*(AA1&lt;=Założenia!$D$16)</f>
        <v>0</v>
      </c>
      <c r="AB8" s="7">
        <f>KorzysciEkonomiczne!AB62*(AB1&lt;=Założenia!$D$16)</f>
        <v>0</v>
      </c>
    </row>
    <row r="9" spans="1:28">
      <c r="A9" s="3" t="s">
        <v>261</v>
      </c>
      <c r="B9" s="13" t="s">
        <v>17</v>
      </c>
      <c r="D9" s="32">
        <f>SUMPRODUCT(E9:AB9,Założenia!$E$20:$AB$20)</f>
        <v>3553181.6945276139</v>
      </c>
      <c r="E9" s="7">
        <f>KorzysciEkonomiczne!E72*(E1&lt;=Założenia!$D$16)</f>
        <v>0</v>
      </c>
      <c r="F9" s="7">
        <f>KorzysciEkonomiczne!F72*(F1&lt;=Założenia!$D$16)</f>
        <v>0</v>
      </c>
      <c r="G9" s="7">
        <f>KorzysciEkonomiczne!G72*(G1&lt;=Założenia!$D$16)</f>
        <v>0</v>
      </c>
      <c r="H9" s="7">
        <f>KorzysciEkonomiczne!H72*(H1&lt;=Założenia!$D$16)</f>
        <v>0</v>
      </c>
      <c r="I9" s="7">
        <f>KorzysciEkonomiczne!I72*(I1&lt;=Założenia!$D$16)</f>
        <v>0</v>
      </c>
      <c r="J9" s="7">
        <f>KorzysciEkonomiczne!J72*(J1&lt;=Założenia!$D$16)</f>
        <v>306007.66465180606</v>
      </c>
      <c r="K9" s="7">
        <f>KorzysciEkonomiczne!K72*(K1&lt;=Założenia!$D$16)</f>
        <v>312918.32927416533</v>
      </c>
      <c r="L9" s="7">
        <f>KorzysciEkonomiczne!L72*(L1&lt;=Założenia!$D$16)</f>
        <v>320277.50085609581</v>
      </c>
      <c r="M9" s="7">
        <f>KorzysciEkonomiczne!M72*(M1&lt;=Założenia!$D$16)</f>
        <v>327440.91410467989</v>
      </c>
      <c r="N9" s="7">
        <f>KorzysciEkonomiczne!N72*(N1&lt;=Założenia!$D$16)</f>
        <v>334609.60508980846</v>
      </c>
      <c r="O9" s="7">
        <f>KorzysciEkonomiczne!O72*(O1&lt;=Założenia!$D$16)</f>
        <v>341223.52485157835</v>
      </c>
      <c r="P9" s="7">
        <f>KorzysciEkonomiczne!P72*(P1&lt;=Założenia!$D$16)</f>
        <v>347750.92074867291</v>
      </c>
      <c r="Q9" s="7">
        <f>KorzysciEkonomiczne!Q72*(Q1&lt;=Założenia!$D$16)</f>
        <v>354459.40524470259</v>
      </c>
      <c r="R9" s="7">
        <f>KorzysciEkonomiczne!R72*(R1&lt;=Założenia!$D$16)</f>
        <v>361062.28134097147</v>
      </c>
      <c r="S9" s="7">
        <f>KorzysciEkonomiczne!S72*(S1&lt;=Założenia!$D$16)</f>
        <v>367234.44275513536</v>
      </c>
      <c r="T9" s="7">
        <f>KorzysciEkonomiczne!T72*(T1&lt;=Założenia!$D$16)</f>
        <v>373258.73243744718</v>
      </c>
      <c r="U9" s="7">
        <f>KorzysciEkonomiczne!U72*(U1&lt;=Założenia!$D$16)</f>
        <v>378816.57259758067</v>
      </c>
      <c r="V9" s="7">
        <f>KorzysciEkonomiczne!V72*(V1&lt;=Założenia!$D$16)</f>
        <v>383877.16370735771</v>
      </c>
      <c r="W9" s="7">
        <f>KorzysciEkonomiczne!W72*(W1&lt;=Założenia!$D$16)</f>
        <v>0</v>
      </c>
      <c r="X9" s="7">
        <f>KorzysciEkonomiczne!X72*(X1&lt;=Założenia!$D$16)</f>
        <v>0</v>
      </c>
      <c r="Y9" s="7">
        <f>KorzysciEkonomiczne!Y72*(Y1&lt;=Założenia!$D$16)</f>
        <v>0</v>
      </c>
      <c r="Z9" s="7">
        <f>KorzysciEkonomiczne!Z72*(Z1&lt;=Założenia!$D$16)</f>
        <v>0</v>
      </c>
      <c r="AA9" s="7">
        <f>KorzysciEkonomiczne!AA72*(AA1&lt;=Założenia!$D$16)</f>
        <v>0</v>
      </c>
      <c r="AB9" s="7">
        <f>KorzysciEkonomiczne!AB72*(AB1&lt;=Założenia!$D$16)</f>
        <v>0</v>
      </c>
    </row>
    <row r="10" spans="1:28">
      <c r="A10" t="s">
        <v>56</v>
      </c>
      <c r="B10" s="13" t="s">
        <v>17</v>
      </c>
      <c r="D10" s="32">
        <f>SUMPRODUCT(E10:AB10,Założenia!$E$20:$AB$20)</f>
        <v>6031701.7344248788</v>
      </c>
      <c r="E10" s="7">
        <f>(E1=Założenia!$D$16)*$D$29</f>
        <v>0</v>
      </c>
      <c r="F10" s="7">
        <f>(F1=Założenia!$D$16)*$D$29</f>
        <v>0</v>
      </c>
      <c r="G10" s="7">
        <f>(G1=Założenia!$D$16)*$D$29</f>
        <v>0</v>
      </c>
      <c r="H10" s="7">
        <f>(H1=Założenia!$D$16)*$D$29</f>
        <v>0</v>
      </c>
      <c r="I10" s="7">
        <f>(I1=Założenia!$D$16)*$D$29</f>
        <v>0</v>
      </c>
      <c r="J10" s="7">
        <f>(J1=Założenia!$D$16)*$D$29</f>
        <v>0</v>
      </c>
      <c r="K10" s="7">
        <f>(K1=Założenia!$D$16)*$D$29</f>
        <v>0</v>
      </c>
      <c r="L10" s="7">
        <f>(L1=Założenia!$D$16)*$D$29</f>
        <v>0</v>
      </c>
      <c r="M10" s="7">
        <f>(M1=Założenia!$D$16)*$D$29</f>
        <v>0</v>
      </c>
      <c r="N10" s="7">
        <f>(N1=Założenia!$D$16)*$D$29</f>
        <v>0</v>
      </c>
      <c r="O10" s="7">
        <f>(O1=Założenia!$D$16)*$D$29</f>
        <v>0</v>
      </c>
      <c r="P10" s="7">
        <f>(P1=Założenia!$D$16)*$D$29</f>
        <v>0</v>
      </c>
      <c r="Q10" s="7">
        <f>(Q1=Założenia!$D$16)*$D$29</f>
        <v>0</v>
      </c>
      <c r="R10" s="7">
        <f>(R1=Założenia!$D$16)*$D$29</f>
        <v>0</v>
      </c>
      <c r="S10" s="7">
        <f>(S1=Założenia!$D$16)*$D$29</f>
        <v>0</v>
      </c>
      <c r="T10" s="7">
        <f>(T1=Założenia!$D$16)*$D$29</f>
        <v>0</v>
      </c>
      <c r="U10" s="7">
        <f>(U1=Założenia!$D$16)*$D$29</f>
        <v>0</v>
      </c>
      <c r="V10" s="7">
        <f>(V1=Założenia!$D$16)*$D$29</f>
        <v>9123490.0668818243</v>
      </c>
      <c r="W10" s="7">
        <f>(W1=Założenia!$D$16)*$D$29</f>
        <v>0</v>
      </c>
      <c r="X10" s="7">
        <f>(X1=Założenia!$D$16)*$D$29</f>
        <v>0</v>
      </c>
      <c r="Y10" s="7">
        <f>(Y1=Założenia!$D$16)*$D$29</f>
        <v>0</v>
      </c>
      <c r="Z10" s="7">
        <f>(Z1=Założenia!$D$16)*$D$29</f>
        <v>0</v>
      </c>
      <c r="AA10" s="7">
        <f>(AA1=Założenia!$D$16)*$D$29</f>
        <v>0</v>
      </c>
      <c r="AB10" s="7">
        <f>(AB1=Założenia!$D$16)*$D$29</f>
        <v>0</v>
      </c>
    </row>
    <row r="11" spans="1:28">
      <c r="D11" s="32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264</v>
      </c>
      <c r="B12" s="13" t="s">
        <v>17</v>
      </c>
      <c r="D12" s="7"/>
      <c r="E12" s="7">
        <f>(-E3-E4-E5+SUM(E7:E9)+E10)*(E1&lt;=Założenia!$D$16)</f>
        <v>0</v>
      </c>
      <c r="F12" s="7">
        <f>(-F3-F4-F5+SUM(F7:F9)+F10)*(F1&lt;=Założenia!$D$16)</f>
        <v>0</v>
      </c>
      <c r="G12" s="7">
        <f>(-G3-G4-G5+SUM(G7:G9)+G10)*(G1&lt;=Założenia!$D$16)</f>
        <v>-2490</v>
      </c>
      <c r="H12" s="7">
        <f>(-H3-H4-H5+SUM(H7:H9)+H10)*(H1&lt;=Założenia!$D$16)</f>
        <v>-11632710</v>
      </c>
      <c r="I12" s="7">
        <f>(-I3-I4-I5+SUM(I7:I9)+I10)*(I1&lt;=Założenia!$D$16)</f>
        <v>-12833350</v>
      </c>
      <c r="J12" s="7">
        <f>(-J3-J4-J5+SUM(J7:J9)+J10)*(J1&lt;=Założenia!$D$16)</f>
        <v>2961504.5235986132</v>
      </c>
      <c r="K12" s="7">
        <f>(-K3-K4-K5+SUM(K7:K9)+K10)*(K1&lt;=Założenia!$D$16)</f>
        <v>3577969.8769082366</v>
      </c>
      <c r="L12" s="7">
        <f>(-L3-L4-L5+SUM(L7:L9)+L10)*(L1&lt;=Założenia!$D$16)</f>
        <v>3179698.2145403298</v>
      </c>
      <c r="M12" s="7">
        <f>(-M3-M4-M5+SUM(M7:M9)+M10)*(M1&lt;=Założenia!$D$16)</f>
        <v>3329507.6903799647</v>
      </c>
      <c r="N12" s="7">
        <f>(-N3-N4-N5+SUM(N7:N9)+N10)*(N1&lt;=Założenia!$D$16)</f>
        <v>3489687.5621628347</v>
      </c>
      <c r="O12" s="7">
        <f>(-O3-O4-O5+SUM(O7:O9)+O10)*(O1&lt;=Założenia!$D$16)</f>
        <v>3656344.7654001019</v>
      </c>
      <c r="P12" s="7">
        <f>(-P3-P4-P5+SUM(P7:P9)+P10)*(P1&lt;=Założenia!$D$16)</f>
        <v>3919734.2247404926</v>
      </c>
      <c r="Q12" s="7">
        <f>(-Q3-Q4-Q5+SUM(Q7:Q9)+Q10)*(Q1&lt;=Założenia!$D$16)</f>
        <v>3988401.0760313892</v>
      </c>
      <c r="R12" s="7">
        <f>(-R3-R4-R5+SUM(R7:R9)+R10)*(R1&lt;=Założenia!$D$16)</f>
        <v>3711346.1156550692</v>
      </c>
      <c r="S12" s="7">
        <f>(-S3-S4-S5+SUM(S7:S9)+S10)*(S1&lt;=Założenia!$D$16)</f>
        <v>4306787.3782937936</v>
      </c>
      <c r="T12" s="7">
        <f>(-T3-T4-T5+SUM(T7:T9)+T10)*(T1&lt;=Założenia!$D$16)</f>
        <v>4471690.9882052327</v>
      </c>
      <c r="U12" s="7">
        <f>(-U3-U4-U5+SUM(U7:U9)+U10)*(U1&lt;=Założenia!$D$16)</f>
        <v>4638842.4177833227</v>
      </c>
      <c r="V12" s="7">
        <f>(-V3-V4-V5+SUM(V7:V9)+V10)*(V1&lt;=Założenia!$D$16)</f>
        <v>13878140.235711459</v>
      </c>
      <c r="W12" s="7">
        <f>(-W3-W4-W5+SUM(W7:W9)+W10)*(W1&lt;=Założenia!$D$16)</f>
        <v>0</v>
      </c>
      <c r="X12" s="7">
        <f>(-X3-X4-X5+SUM(X7:X9)+X10)*(X1&lt;=Założenia!$D$16)</f>
        <v>0</v>
      </c>
      <c r="Y12" s="7">
        <f>(-Y3-Y4-Y5+SUM(Y7:Y9)+Y10)*(Y1&lt;=Założenia!$D$16)</f>
        <v>0</v>
      </c>
      <c r="Z12" s="7">
        <f>(-Z3-Z4-Z5+SUM(Z7:Z9)+Z10)*(Z1&lt;=Założenia!$D$16)</f>
        <v>0</v>
      </c>
      <c r="AA12" s="7">
        <f>(-AA3-AA4-AA5+SUM(AA7:AA9)+AA10)*(AA1&lt;=Założenia!$D$16)</f>
        <v>0</v>
      </c>
      <c r="AB12" s="7">
        <f>(-AB3-AB4-AB5+SUM(AB7:AB9)+AB10)*(AB1&lt;=Założenia!$D$16)</f>
        <v>0</v>
      </c>
    </row>
    <row r="13" spans="1:28">
      <c r="A13" t="s">
        <v>265</v>
      </c>
      <c r="B13" s="13" t="s">
        <v>17</v>
      </c>
      <c r="E13" s="7">
        <f>E12*Założenia!E20</f>
        <v>0</v>
      </c>
      <c r="F13" s="7">
        <f>F12*Założenia!F20</f>
        <v>0</v>
      </c>
      <c r="G13" s="7">
        <f>G12*Założenia!G20</f>
        <v>-2490</v>
      </c>
      <c r="H13" s="7">
        <f>H12*Założenia!H20</f>
        <v>-11632710</v>
      </c>
      <c r="I13" s="7">
        <f>I12*Założenia!I20</f>
        <v>-12459563.106796117</v>
      </c>
      <c r="J13" s="7">
        <f>J12*Założenia!J20</f>
        <v>2791502.0488251611</v>
      </c>
      <c r="K13" s="7">
        <f>K12*Założenia!K20</f>
        <v>3274349.2902694237</v>
      </c>
      <c r="L13" s="7">
        <f>L12*Założenia!L20</f>
        <v>2825120.6798997247</v>
      </c>
      <c r="M13" s="7">
        <f>M12*Założenia!M20</f>
        <v>2872062.581396387</v>
      </c>
      <c r="N13" s="7">
        <f>N12*Założenia!N20</f>
        <v>2922558.3940561358</v>
      </c>
      <c r="O13" s="7">
        <f>O12*Założenia!O20</f>
        <v>2972942.8912915289</v>
      </c>
      <c r="P13" s="7">
        <f>P12*Założenia!P20</f>
        <v>3094274.3930665208</v>
      </c>
      <c r="Q13" s="7">
        <f>Q12*Założenia!Q20</f>
        <v>3056777.3199677831</v>
      </c>
      <c r="R13" s="7">
        <f>R12*Założenia!R20</f>
        <v>2761590.0607345346</v>
      </c>
      <c r="S13" s="7">
        <f>S12*Założenia!S20</f>
        <v>3111314.8358664392</v>
      </c>
      <c r="T13" s="7">
        <f>T12*Założenia!T20</f>
        <v>3136354.0895673842</v>
      </c>
      <c r="U13" s="7">
        <f>U12*Założenia!U20</f>
        <v>3158825.9604067467</v>
      </c>
      <c r="V13" s="7">
        <f>V12*Założenia!V20</f>
        <v>9175085.6214766558</v>
      </c>
      <c r="W13" s="7">
        <f>W12*Założenia!W20</f>
        <v>0</v>
      </c>
      <c r="X13" s="7">
        <f>X12*Założenia!X20</f>
        <v>0</v>
      </c>
      <c r="Y13" s="7">
        <f>Y12*Założenia!Y20</f>
        <v>0</v>
      </c>
      <c r="Z13" s="7">
        <f>Z12*Założenia!Z20</f>
        <v>0</v>
      </c>
      <c r="AA13" s="7">
        <f>AA12*Założenia!AA20</f>
        <v>0</v>
      </c>
      <c r="AB13" s="7">
        <f>AB12*Założenia!AB20</f>
        <v>0</v>
      </c>
    </row>
    <row r="14" spans="1:28">
      <c r="A14" t="s">
        <v>272</v>
      </c>
      <c r="B14" s="13" t="s">
        <v>17</v>
      </c>
      <c r="E14" s="7">
        <f>(E1&lt;Założenia!$D$14)*0+(E1=Założenia!$D$14)*SUM($E$12:E12)+(E1&gt;Założenia!$D$14)*E12</f>
        <v>0</v>
      </c>
      <c r="F14" s="7">
        <f>(F1&lt;Założenia!$D$14)*0+(F1=Założenia!$D$14)*SUM($E$12:F12)+(F1&gt;Założenia!$D$14)*F12</f>
        <v>0</v>
      </c>
      <c r="G14" s="7">
        <f>(G1&lt;Założenia!$D$14)*0+(G1=Założenia!$D$14)*SUM($E$12:G12)+(G1&gt;Założenia!$D$14)*G12</f>
        <v>0</v>
      </c>
      <c r="H14" s="7">
        <f>(H1&lt;Założenia!$D$14)*0+(H1=Założenia!$D$14)*SUM($E$12:H12)+(H1&gt;Założenia!$D$14)*H12</f>
        <v>-11635200</v>
      </c>
      <c r="I14" s="7">
        <f>(I1&lt;Założenia!$D$14)*0+(I1=Założenia!$D$14)*SUM($E$12:I12)+(I1&gt;Założenia!$D$14)*I12</f>
        <v>-12833350</v>
      </c>
      <c r="J14" s="7">
        <f>(J1&lt;Założenia!$D$14)*0+(J1=Założenia!$D$14)*SUM($E$12:J12)+(J1&gt;Założenia!$D$14)*J12</f>
        <v>2961504.5235986132</v>
      </c>
      <c r="K14" s="7">
        <f>(K1&lt;Założenia!$D$14)*0+(K1=Założenia!$D$14)*SUM($E$12:K12)+(K1&gt;Założenia!$D$14)*K12</f>
        <v>3577969.8769082366</v>
      </c>
      <c r="L14" s="7">
        <f>(L1&lt;Założenia!$D$14)*0+(L1=Założenia!$D$14)*SUM($E$12:L12)+(L1&gt;Założenia!$D$14)*L12</f>
        <v>3179698.2145403298</v>
      </c>
      <c r="M14" s="7">
        <f>(M1&lt;Założenia!$D$14)*0+(M1=Założenia!$D$14)*SUM($E$12:M12)+(M1&gt;Założenia!$D$14)*M12</f>
        <v>3329507.6903799647</v>
      </c>
      <c r="N14" s="7">
        <f>(N1&lt;Założenia!$D$14)*0+(N1=Założenia!$D$14)*SUM($E$12:N12)+(N1&gt;Założenia!$D$14)*N12</f>
        <v>3489687.5621628347</v>
      </c>
      <c r="O14" s="7">
        <f>(O1&lt;Założenia!$D$14)*0+(O1=Założenia!$D$14)*SUM($E$12:O12)+(O1&gt;Założenia!$D$14)*O12</f>
        <v>3656344.7654001019</v>
      </c>
      <c r="P14" s="7">
        <f>(P1&lt;Założenia!$D$14)*0+(P1=Założenia!$D$14)*SUM($E$12:P12)+(P1&gt;Założenia!$D$14)*P12</f>
        <v>3919734.2247404926</v>
      </c>
      <c r="Q14" s="7">
        <f>(Q1&lt;Założenia!$D$14)*0+(Q1=Założenia!$D$14)*SUM($E$12:Q12)+(Q1&gt;Założenia!$D$14)*Q12</f>
        <v>3988401.0760313892</v>
      </c>
      <c r="R14" s="7">
        <f>(R1&lt;Założenia!$D$14)*0+(R1=Założenia!$D$14)*SUM($E$12:R12)+(R1&gt;Założenia!$D$14)*R12</f>
        <v>3711346.1156550692</v>
      </c>
      <c r="S14" s="7">
        <f>(S1&lt;Założenia!$D$14)*0+(S1=Założenia!$D$14)*SUM($E$12:S12)+(S1&gt;Założenia!$D$14)*S12</f>
        <v>4306787.3782937936</v>
      </c>
      <c r="T14" s="7">
        <f>(T1&lt;Założenia!$D$14)*0+(T1=Założenia!$D$14)*SUM($E$12:T12)+(T1&gt;Założenia!$D$14)*T12</f>
        <v>4471690.9882052327</v>
      </c>
      <c r="U14" s="7">
        <f>(U1&lt;Założenia!$D$14)*0+(U1=Założenia!$D$14)*SUM($E$12:U12)+(U1&gt;Założenia!$D$14)*U12</f>
        <v>4638842.4177833227</v>
      </c>
      <c r="V14" s="7">
        <f>(V1&lt;Założenia!$D$14)*0+(V1=Założenia!$D$14)*SUM($E$12:V12)+(V1&gt;Założenia!$D$14)*V12</f>
        <v>13878140.235711459</v>
      </c>
      <c r="W14" s="7">
        <f>(W1&lt;Założenia!$D$14)*0+(W1=Założenia!$D$14)*SUM($E$12:W12)+(W1&gt;Założenia!$D$14)*W12</f>
        <v>0</v>
      </c>
      <c r="X14" s="7">
        <f>(X1&lt;Założenia!$D$14)*0+(X1=Założenia!$D$14)*SUM($E$12:X12)+(X1&gt;Założenia!$D$14)*X12</f>
        <v>0</v>
      </c>
      <c r="Y14" s="7">
        <f>(Y1&lt;Założenia!$D$14)*0+(Y1=Założenia!$D$14)*SUM($E$12:Y12)+(Y1&gt;Założenia!$D$14)*Y12</f>
        <v>0</v>
      </c>
      <c r="Z14" s="7">
        <f>(Z1&lt;Założenia!$D$14)*0+(Z1=Założenia!$D$14)*SUM($E$12:Z12)+(Z1&gt;Założenia!$D$14)*Z12</f>
        <v>0</v>
      </c>
      <c r="AA14" s="7">
        <f>(AA1&lt;Założenia!$D$14)*0+(AA1=Założenia!$D$14)*SUM($E$12:AA12)+(AA1&gt;Założenia!$D$14)*AA12</f>
        <v>0</v>
      </c>
      <c r="AB14" s="7">
        <f>(AB1&lt;Założenia!$D$14)*0+(AB1=Założenia!$D$14)*SUM($E$12:AB12)+(AB1&gt;Założenia!$D$14)*AB12</f>
        <v>0</v>
      </c>
    </row>
    <row r="16" spans="1:28">
      <c r="A16" s="34" t="s">
        <v>278</v>
      </c>
      <c r="B16" s="78" t="s">
        <v>17</v>
      </c>
      <c r="C16" s="34"/>
      <c r="D16" s="79">
        <f>SUM(E13:AB13)</f>
        <v>21057995.060028307</v>
      </c>
    </row>
    <row r="17" spans="1:28">
      <c r="A17" s="34" t="s">
        <v>280</v>
      </c>
      <c r="B17" s="78" t="s">
        <v>13</v>
      </c>
      <c r="C17" s="34"/>
      <c r="D17" s="92">
        <f ca="1">IRR(OFFSET(A14:AB14,0,MATCH(Założenia!D14,AnalizaFin!A1:AB1,0)-1),-0.1)</f>
        <v>0.11757414088158757</v>
      </c>
    </row>
    <row r="18" spans="1:28">
      <c r="A18" s="34" t="s">
        <v>281</v>
      </c>
      <c r="B18" s="78"/>
      <c r="C18" s="34"/>
      <c r="D18" s="79">
        <f>-SUMIF(D3:D10,"&gt;0")/SUMIF(D3:D10,"&lt;0")</f>
        <v>1.8739656400310793</v>
      </c>
    </row>
    <row r="20" spans="1:28">
      <c r="A20" s="4" t="s">
        <v>56</v>
      </c>
    </row>
    <row r="21" spans="1:28">
      <c r="D21" s="4">
        <f>Założenia!$D$16</f>
        <v>2041</v>
      </c>
      <c r="E21" s="4">
        <f>IF(D21&lt;=Założenia!$D$48+Założenia!$D$17-(Założenia!$D$48-Założenia!$D$14),D21+1,"")</f>
        <v>2042</v>
      </c>
      <c r="F21" s="4">
        <f>IF(E21&lt;=Założenia!$D$48+Założenia!$D$17-(Założenia!$D$48-Założenia!$D$14),E21+1,"")</f>
        <v>2043</v>
      </c>
      <c r="G21" s="4" t="str">
        <f>IF(F21&lt;=Założenia!$D$48+Założenia!$D$17-(Założenia!$D$48-Założenia!$D$14),F21+1,"")</f>
        <v/>
      </c>
      <c r="H21" s="4" t="str">
        <f>IF(G21&lt;=Założenia!$D$48+Założenia!$D$17-(Założenia!$D$48-Założenia!$D$14),G21+1,"")</f>
        <v/>
      </c>
      <c r="I21" s="4" t="str">
        <f>IF(H21&lt;=Założenia!$D$48+Założenia!$D$17-(Założenia!$D$48-Założenia!$D$14),H21+1,"")</f>
        <v/>
      </c>
      <c r="J21" s="4" t="str">
        <f>IF(I21&lt;=Założenia!$D$48+Założenia!$D$17-(Założenia!$D$48-Założenia!$D$14),I21+1,"")</f>
        <v/>
      </c>
      <c r="K21" s="4" t="str">
        <f>IF(J21&lt;=Założenia!$D$48+Założenia!$D$17-(Założenia!$D$48-Założenia!$D$14),J21+1,"")</f>
        <v/>
      </c>
      <c r="L21" s="4" t="str">
        <f>IF(K21&lt;=Założenia!$D$48+Założenia!$D$17-(Założenia!$D$48-Założenia!$D$14),K21+1,"")</f>
        <v/>
      </c>
      <c r="M21" s="4" t="str">
        <f>IF(L21&lt;=Założenia!$D$48+Założenia!$D$17-(Założenia!$D$48-Założenia!$D$14),L21+1,"")</f>
        <v/>
      </c>
      <c r="N21" s="4" t="str">
        <f>IF(M21&lt;=Założenia!$D$48+Założenia!$D$17-(Założenia!$D$48-Założenia!$D$14),M21+1,"")</f>
        <v/>
      </c>
      <c r="O21" s="4" t="str">
        <f>IF(N21&lt;=Założenia!$D$48+Założenia!$D$17-(Założenia!$D$48-Założenia!$D$14),N21+1,"")</f>
        <v/>
      </c>
      <c r="P21" s="4" t="str">
        <f>IF(O21&lt;=Założenia!$D$48+Założenia!$D$17-(Założenia!$D$48-Założenia!$D$14),O21+1,"")</f>
        <v/>
      </c>
      <c r="Q21" s="4" t="str">
        <f>IF(P21&lt;=Założenia!$D$48+Założenia!$D$17-(Założenia!$D$48-Założenia!$D$14),P21+1,"")</f>
        <v/>
      </c>
      <c r="R21" s="4" t="str">
        <f>IF(Q21&lt;=Założenia!$D$48+Założenia!$D$17-(Założenia!$D$48-Założenia!$D$14),Q21+1,"")</f>
        <v/>
      </c>
      <c r="S21" s="4" t="str">
        <f>IF(R21&lt;=Założenia!$D$48+Założenia!$D$17-(Założenia!$D$48-Założenia!$D$14),R21+1,"")</f>
        <v/>
      </c>
      <c r="T21" s="4" t="str">
        <f>IF(S21&lt;=Założenia!$D$48+Założenia!$D$17-(Założenia!$D$48-Założenia!$D$14),S21+1,"")</f>
        <v/>
      </c>
      <c r="U21" s="4" t="str">
        <f>IF(T21&lt;=Założenia!$D$48+Założenia!$D$17-(Założenia!$D$48-Założenia!$D$14),T21+1,"")</f>
        <v/>
      </c>
      <c r="V21" s="4" t="str">
        <f>IF(U21&lt;=Założenia!$D$48+Założenia!$D$17-(Założenia!$D$48-Założenia!$D$14),U21+1,"")</f>
        <v/>
      </c>
      <c r="W21" s="4" t="str">
        <f>IF(V21&lt;=Założenia!$D$48+Założenia!$D$17-(Założenia!$D$48-Założenia!$D$14),V21+1,"")</f>
        <v/>
      </c>
      <c r="X21" s="4" t="str">
        <f>IF(W21&lt;=Założenia!$D$48+Założenia!$D$17-(Założenia!$D$48-Założenia!$D$14),W21+1,"")</f>
        <v/>
      </c>
      <c r="Y21" s="4" t="str">
        <f>IF(X21&lt;=Założenia!$D$48+Założenia!$D$17-(Założenia!$D$48-Założenia!$D$14),X21+1,"")</f>
        <v/>
      </c>
      <c r="Z21" s="4" t="str">
        <f>IF(Y21&lt;=Założenia!$D$48+Założenia!$D$17-(Założenia!$D$48-Założenia!$D$14),Y21+1,"")</f>
        <v/>
      </c>
      <c r="AA21" s="4" t="str">
        <f>IF(Z21&lt;=Założenia!$D$48+Założenia!$D$17-(Założenia!$D$48-Założenia!$D$14),Z21+1,"")</f>
        <v/>
      </c>
      <c r="AB21" s="4" t="str">
        <f>IF(AA21&lt;=Założenia!$D$48+Założenia!$D$17-(Założenia!$D$48-Założenia!$D$14),AA21+1,"")</f>
        <v/>
      </c>
    </row>
    <row r="23" spans="1:28">
      <c r="A23" t="s">
        <v>458</v>
      </c>
      <c r="B23" s="13" t="s">
        <v>17</v>
      </c>
      <c r="D23" s="7">
        <f>SUMIFS($E$8:$AB$8,$E$1:$AB$1,Założenia!$D$16)
+SUMIFS($E$9:$AB$9,$E$1:$AB$1,Założenia!$D$16)
+SUMIFS($E$7:$AB$7,$E$1:$AB$1,Założenia!$D$16)</f>
        <v>4236250.1688296348</v>
      </c>
    </row>
    <row r="24" spans="1:28">
      <c r="A24" t="s">
        <v>455</v>
      </c>
      <c r="B24" s="13" t="s">
        <v>17</v>
      </c>
      <c r="D24" s="7">
        <f>SUMIFS($E$5:$AB$5,$E$1:$AB$1,Założenia!$D$16)</f>
        <v>-518400.00000000006</v>
      </c>
      <c r="E24" s="7"/>
    </row>
    <row r="25" spans="1:28">
      <c r="A25" t="s">
        <v>456</v>
      </c>
      <c r="B25" s="13" t="s">
        <v>17</v>
      </c>
      <c r="D25" s="7">
        <f>SUMIFS($E$4:$AB$4,$E$1:$AB$1,"&lt;="&amp;Założenia!$D$16)/(Założenia!$D$16-Założenia!$D$14-1)</f>
        <v>-13384.615384615385</v>
      </c>
      <c r="F25" s="7"/>
    </row>
    <row r="26" spans="1:28">
      <c r="D26" s="7"/>
      <c r="F26" s="7"/>
    </row>
    <row r="27" spans="1:28">
      <c r="A27" t="s">
        <v>457</v>
      </c>
      <c r="E27" s="7">
        <f>IF(E21="","",$D$23-$D$24-$D$25)</f>
        <v>4768034.7842142498</v>
      </c>
      <c r="F27" s="7">
        <f t="shared" ref="F27:AB27" si="0">IF(F21="","",$D$23-$D$24-$D$25)</f>
        <v>4768034.7842142498</v>
      </c>
      <c r="G27" s="7" t="str">
        <f t="shared" si="0"/>
        <v/>
      </c>
      <c r="H27" s="7" t="str">
        <f t="shared" si="0"/>
        <v/>
      </c>
      <c r="I27" s="7" t="str">
        <f t="shared" si="0"/>
        <v/>
      </c>
      <c r="J27" s="7" t="str">
        <f t="shared" si="0"/>
        <v/>
      </c>
      <c r="K27" s="7" t="str">
        <f t="shared" si="0"/>
        <v/>
      </c>
      <c r="L27" s="7" t="str">
        <f t="shared" si="0"/>
        <v/>
      </c>
      <c r="M27" s="7" t="str">
        <f t="shared" si="0"/>
        <v/>
      </c>
      <c r="N27" s="7" t="str">
        <f t="shared" si="0"/>
        <v/>
      </c>
      <c r="O27" s="7" t="str">
        <f t="shared" si="0"/>
        <v/>
      </c>
      <c r="P27" s="7" t="str">
        <f t="shared" si="0"/>
        <v/>
      </c>
      <c r="Q27" s="7" t="str">
        <f t="shared" si="0"/>
        <v/>
      </c>
      <c r="R27" s="7" t="str">
        <f t="shared" si="0"/>
        <v/>
      </c>
      <c r="S27" s="7" t="str">
        <f t="shared" si="0"/>
        <v/>
      </c>
      <c r="T27" s="7" t="str">
        <f t="shared" si="0"/>
        <v/>
      </c>
      <c r="U27" s="7" t="str">
        <f t="shared" si="0"/>
        <v/>
      </c>
      <c r="V27" s="7" t="str">
        <f t="shared" si="0"/>
        <v/>
      </c>
      <c r="W27" s="7" t="str">
        <f t="shared" si="0"/>
        <v/>
      </c>
      <c r="X27" s="7" t="str">
        <f t="shared" si="0"/>
        <v/>
      </c>
      <c r="Y27" s="7" t="str">
        <f t="shared" si="0"/>
        <v/>
      </c>
      <c r="Z27" s="7" t="str">
        <f t="shared" si="0"/>
        <v/>
      </c>
      <c r="AA27" s="7" t="str">
        <f t="shared" si="0"/>
        <v/>
      </c>
      <c r="AB27" s="7" t="str">
        <f t="shared" si="0"/>
        <v/>
      </c>
    </row>
    <row r="29" spans="1:28">
      <c r="A29" t="s">
        <v>56</v>
      </c>
      <c r="B29" s="13" t="s">
        <v>17</v>
      </c>
      <c r="D29" s="7">
        <f>NPV(Założenia!$D$9,$E$27:$AB$27)</f>
        <v>9123490.0668818243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Wstęp</vt:lpstr>
      <vt:lpstr>Założenia</vt:lpstr>
      <vt:lpstr>SF - trwałość operatora</vt:lpstr>
      <vt:lpstr>WPF</vt:lpstr>
      <vt:lpstr>Eksploatacja</vt:lpstr>
      <vt:lpstr>Emisja</vt:lpstr>
      <vt:lpstr>KorzysciEkonomiczne</vt:lpstr>
      <vt:lpstr>AnalizaFin</vt:lpstr>
      <vt:lpstr>AnalizaEkon</vt:lpstr>
      <vt:lpstr>Wrażliwość</vt:lpstr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2026-03-13T13:25:10Z</dcterms:modified>
</cp:coreProperties>
</file>